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65" windowWidth="14805" windowHeight="7050"/>
  </bookViews>
  <sheets>
    <sheet name="форма 1" sheetId="10" r:id="rId1"/>
    <sheet name="форма 2" sheetId="2" r:id="rId2"/>
    <sheet name="форма 4 нет" sheetId="4" r:id="rId3"/>
    <sheet name="форма3 " sheetId="11" r:id="rId4"/>
    <sheet name="форма 6" sheetId="8" r:id="rId5"/>
    <sheet name="форма 7" sheetId="9" r:id="rId6"/>
    <sheet name="тит лист" sheetId="7" r:id="rId7"/>
    <sheet name="форма 5 новая " sheetId="12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'форма 1'!$A$11:$T$11</definedName>
  </definedNames>
  <calcPr calcId="124519"/>
</workbook>
</file>

<file path=xl/calcChain.xml><?xml version="1.0" encoding="utf-8"?>
<calcChain xmlns="http://schemas.openxmlformats.org/spreadsheetml/2006/main">
  <c r="S26" i="10"/>
  <c r="R26"/>
  <c r="Q26"/>
  <c r="P26"/>
  <c r="Q11"/>
  <c r="R11" s="1"/>
  <c r="S15"/>
  <c r="S12"/>
  <c r="R13"/>
  <c r="R12"/>
  <c r="P11"/>
  <c r="O11"/>
  <c r="E11" i="2"/>
  <c r="G11" s="1"/>
  <c r="R25" i="10"/>
  <c r="S29"/>
  <c r="S25"/>
  <c r="Q23"/>
  <c r="R23" s="1"/>
  <c r="Q24"/>
  <c r="P24"/>
  <c r="S24" s="1"/>
  <c r="R24"/>
  <c r="P23"/>
  <c r="G37" i="12"/>
  <c r="F40"/>
  <c r="G40" s="1"/>
  <c r="I40" s="1"/>
  <c r="M40" s="1"/>
  <c r="F39"/>
  <c r="J39" s="1"/>
  <c r="F38"/>
  <c r="F36"/>
  <c r="F35"/>
  <c r="F34"/>
  <c r="F33"/>
  <c r="F31"/>
  <c r="G31" s="1"/>
  <c r="I31" s="1"/>
  <c r="M31" s="1"/>
  <c r="F30"/>
  <c r="F29"/>
  <c r="F27"/>
  <c r="J27" s="1"/>
  <c r="F26"/>
  <c r="G26" s="1"/>
  <c r="I26" s="1"/>
  <c r="M26" s="1"/>
  <c r="F25"/>
  <c r="F24"/>
  <c r="G24" s="1"/>
  <c r="I24" s="1"/>
  <c r="M24" s="1"/>
  <c r="F21"/>
  <c r="G21" s="1"/>
  <c r="I21" s="1"/>
  <c r="M21" s="1"/>
  <c r="F20"/>
  <c r="G20" s="1"/>
  <c r="I20" s="1"/>
  <c r="M20" s="1"/>
  <c r="F19"/>
  <c r="G19" s="1"/>
  <c r="I19" s="1"/>
  <c r="M19" s="1"/>
  <c r="F18"/>
  <c r="G18" s="1"/>
  <c r="I18" s="1"/>
  <c r="M18" s="1"/>
  <c r="F17"/>
  <c r="G17" s="1"/>
  <c r="I17" s="1"/>
  <c r="F16"/>
  <c r="G16" s="1"/>
  <c r="I16" s="1"/>
  <c r="M16" s="1"/>
  <c r="F13"/>
  <c r="G13" s="1"/>
  <c r="I13" s="1"/>
  <c r="F12"/>
  <c r="G12" s="1"/>
  <c r="I12" s="1"/>
  <c r="F11"/>
  <c r="G11" s="1"/>
  <c r="I11" s="1"/>
  <c r="M11" s="1"/>
  <c r="F10"/>
  <c r="G10" s="1"/>
  <c r="I10" s="1"/>
  <c r="M10" s="1"/>
  <c r="F9"/>
  <c r="J9" s="1"/>
  <c r="H20"/>
  <c r="S30" i="10"/>
  <c r="S22"/>
  <c r="S21"/>
  <c r="S20"/>
  <c r="S19"/>
  <c r="S18"/>
  <c r="S17"/>
  <c r="S16"/>
  <c r="S14"/>
  <c r="S13"/>
  <c r="R30"/>
  <c r="R22"/>
  <c r="R20"/>
  <c r="R18"/>
  <c r="R17"/>
  <c r="I37" i="12"/>
  <c r="N37"/>
  <c r="F10" i="2"/>
  <c r="J42" i="12"/>
  <c r="I42"/>
  <c r="M42"/>
  <c r="P39"/>
  <c r="Q39" s="1"/>
  <c r="O39"/>
  <c r="O38"/>
  <c r="P37"/>
  <c r="O37"/>
  <c r="P38" s="1"/>
  <c r="Q38" s="1"/>
  <c r="P36"/>
  <c r="O36"/>
  <c r="P35"/>
  <c r="O35"/>
  <c r="P34"/>
  <c r="O34"/>
  <c r="P33"/>
  <c r="O33"/>
  <c r="Q31"/>
  <c r="O31"/>
  <c r="Q30"/>
  <c r="O30"/>
  <c r="O29"/>
  <c r="Q24"/>
  <c r="O24"/>
  <c r="J22"/>
  <c r="I22"/>
  <c r="M22"/>
  <c r="G14" i="2"/>
  <c r="Q28" i="10"/>
  <c r="O28"/>
  <c r="O26" s="1"/>
  <c r="Q27"/>
  <c r="S27" s="1"/>
  <c r="G13" i="2"/>
  <c r="J37" i="12"/>
  <c r="H40"/>
  <c r="H18"/>
  <c r="H19"/>
  <c r="H17"/>
  <c r="N22"/>
  <c r="H38"/>
  <c r="J38"/>
  <c r="H39"/>
  <c r="J19"/>
  <c r="I38"/>
  <c r="M38"/>
  <c r="J20"/>
  <c r="H16"/>
  <c r="J17"/>
  <c r="M37"/>
  <c r="H21"/>
  <c r="N38"/>
  <c r="H34"/>
  <c r="I34"/>
  <c r="M34"/>
  <c r="J34"/>
  <c r="H30"/>
  <c r="H29"/>
  <c r="H27"/>
  <c r="H26"/>
  <c r="H25"/>
  <c r="H24"/>
  <c r="H13"/>
  <c r="H12"/>
  <c r="H11"/>
  <c r="H10"/>
  <c r="H9"/>
  <c r="I30"/>
  <c r="M30"/>
  <c r="J30"/>
  <c r="J12"/>
  <c r="I25"/>
  <c r="M25"/>
  <c r="J25"/>
  <c r="I29"/>
  <c r="M29"/>
  <c r="J29"/>
  <c r="I27"/>
  <c r="J13"/>
  <c r="J26"/>
  <c r="H31"/>
  <c r="N27"/>
  <c r="M27"/>
  <c r="J31"/>
  <c r="H33"/>
  <c r="I33"/>
  <c r="M33"/>
  <c r="J33"/>
  <c r="H35"/>
  <c r="H36"/>
  <c r="J35"/>
  <c r="I35"/>
  <c r="J36"/>
  <c r="I36"/>
  <c r="M36"/>
  <c r="N35"/>
  <c r="M35"/>
  <c r="Q34" l="1"/>
  <c r="Q33"/>
  <c r="Q35"/>
  <c r="Q36"/>
  <c r="G9"/>
  <c r="I9" s="1"/>
  <c r="N9" s="1"/>
  <c r="Q37"/>
  <c r="N13"/>
  <c r="M13"/>
  <c r="M9"/>
  <c r="N12"/>
  <c r="M12"/>
  <c r="N17"/>
  <c r="M17"/>
  <c r="J11"/>
  <c r="J16"/>
  <c r="J21"/>
  <c r="J18"/>
  <c r="G39"/>
  <c r="I39" s="1"/>
  <c r="M39" s="1"/>
  <c r="J10"/>
  <c r="J24"/>
  <c r="J40"/>
  <c r="S11" i="10"/>
  <c r="R27"/>
  <c r="S23"/>
  <c r="E10" i="2"/>
  <c r="G10" s="1"/>
  <c r="M7" i="12" l="1"/>
</calcChain>
</file>

<file path=xl/sharedStrings.xml><?xml version="1.0" encoding="utf-8"?>
<sst xmlns="http://schemas.openxmlformats.org/spreadsheetml/2006/main" count="519" uniqueCount="264">
  <si>
    <t>Коды аналитической программной классификации</t>
  </si>
  <si>
    <t>Ответственный исполнитель, соисполнитель</t>
  </si>
  <si>
    <t>Код бюджетной классификации</t>
  </si>
  <si>
    <t>ГРБС</t>
  </si>
  <si>
    <t>Рз</t>
  </si>
  <si>
    <t>Пр</t>
  </si>
  <si>
    <t>ЦС</t>
  </si>
  <si>
    <t>ВР</t>
  </si>
  <si>
    <t>МП</t>
  </si>
  <si>
    <t>Пп</t>
  </si>
  <si>
    <t>ОМ</t>
  </si>
  <si>
    <t>М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</si>
  <si>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</si>
  <si>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</si>
  <si>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</si>
  <si>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</si>
  <si>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</si>
  <si>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</si>
  <si>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Всего</t>
  </si>
  <si>
    <t>бюджет муниципального образования</t>
  </si>
  <si>
    <t>в том числе:</t>
  </si>
  <si>
    <t>собственные средства бюджета муниципального образования</t>
  </si>
  <si>
    <t>субсидии из бюджета Удмуртской Республики</t>
  </si>
  <si>
    <t>субвенции из бюджета Удмуртской Республики</t>
  </si>
  <si>
    <t>иные межбюджетные трансферты из бюджета Удмуртской Республики, имеющие целевое назначение</t>
  </si>
  <si>
    <t>субсидии из бюджета Удмуртской Республики, планируемые к привлечению</t>
  </si>
  <si>
    <t xml:space="preserve">Форма 3. Отчет о выполнении основных мероприятий муниципальной программы </t>
  </si>
  <si>
    <t>Код аналитической программной классификации</t>
  </si>
  <si>
    <t>Наименование подпрограммы,                                                основного мероприятия, мероприятия</t>
  </si>
  <si>
    <t>Ответственный исполнитель подпрограммы, основного мероприятия, мероприятия</t>
  </si>
  <si>
    <t xml:space="preserve">Срок выполнения плановый 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</si>
  <si>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</si>
  <si>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</si>
  <si>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</si>
  <si>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</si>
  <si>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 xml:space="preserve">Форма 4. Отчет о выполнении сводных показателей муниципальных заданий на оказание муниципальных услуг (выполнение работ) </t>
  </si>
  <si>
    <t xml:space="preserve">Форма 5. Отчет о достигнутых значениях целевых показателей (индикаторов) муниципальной программы 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</si>
  <si>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</si>
  <si>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</si>
  <si>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</si>
  <si>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</si>
  <si>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</si>
  <si>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</si>
  <si>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план на конец отчетного (текущего) года</t>
  </si>
  <si>
    <t>08</t>
  </si>
  <si>
    <t>01</t>
  </si>
  <si>
    <t>Внедрение энергоменеджмента</t>
  </si>
  <si>
    <t>7</t>
  </si>
  <si>
    <t>03</t>
  </si>
  <si>
    <t>05</t>
  </si>
  <si>
    <t>02</t>
  </si>
  <si>
    <t>13</t>
  </si>
  <si>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муниципального образования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</si>
  <si>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муниципального образования</t>
  </si>
  <si>
    <t>Доля объема холодной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</si>
  <si>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горячей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</si>
  <si>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природного газа, расчеты за который осуществляются с использованием приборов учета, в общем объеме природного газа, потребляемого (используемого) на территории муниципального образования</t>
  </si>
  <si>
    <t>Доля объема энергетических ресурсов, производимых с использованием возобновляемых источников энергии и (или) вторичных энергетических ресурсов, в общем объеме энергетических ресурсов, производимых на территории муниципального образования</t>
  </si>
  <si>
    <t>Целевые показатели в области энергосбережения и повышения энергетической эффективности в муниципальном секторе</t>
  </si>
  <si>
    <t>Удельный расход энергетических ресурсов на снабжение органов местного самоуправления и муниципальных учреждений</t>
  </si>
  <si>
    <t>Удельный расход электрической энергии на снабжение органов местного самоуправления и муниципальных учреждений</t>
  </si>
  <si>
    <t>Удельный расход тепловой энергии на снабжение органов местного самоуправления и муниципальных учреждений</t>
  </si>
  <si>
    <t>Удельный расход холодной воды на снабжение органов местного самоуправления и муниципальных учреждений</t>
  </si>
  <si>
    <t>Удельный расход горячей воды на снабжение органов местного самоуправления и муниципальных учреждений</t>
  </si>
  <si>
    <t>Удельный расход природного газа на снабжение органов местного самоуправления и муниципальных учреждений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</si>
  <si>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</si>
  <si>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Целевые показатели в области энергосбережения и повышения энергетической эффективности в жилищном фонде</t>
  </si>
  <si>
    <t>Удельный расход тепловой энергии в многоквартирных домах</t>
  </si>
  <si>
    <t>Удельный расход холодной воды в многоквартирных домах</t>
  </si>
  <si>
    <t>Удельный расход горячей воды в многоквартирных домах</t>
  </si>
  <si>
    <t>Удельный расход электрической энергии в многоквартирных домах</t>
  </si>
  <si>
    <t>Удельная величина потребления электрической энергии в многоквартирных домах</t>
  </si>
  <si>
    <t>Удельный суммарный расход энергетических ресурсов в многоквартирных домах</t>
  </si>
  <si>
    <t>Целевые показатели в области энергосбережения и повышения энергетической эффективности в системах коммунальной инфраструктуры</t>
  </si>
  <si>
    <t>Удельный расход топлива на выработку тепловой энергии на тепловых электростанциях</t>
  </si>
  <si>
    <t>Удельный расход топлива на выработку тепловой энергии на котельных</t>
  </si>
  <si>
    <t>Удельный расход электрической энергии, используемой при передаче тепловой энергии в системах теплоснабжения</t>
  </si>
  <si>
    <t>Доля потерь тепловой энергии при ее передаче в общем объеме переданной тепловой энергии</t>
  </si>
  <si>
    <t>Доля потерь воды при ее передаче в общем объеме переданной воды</t>
  </si>
  <si>
    <t>Удельный расход электрической энергии, используемой для передачи (транспортировки) воды в системах водоснабжения</t>
  </si>
  <si>
    <t>Удельный расход электрической энергии, используемой в системах водоотведения</t>
  </si>
  <si>
    <t>Удельный расход электрической энергии в системах уличного освещения</t>
  </si>
  <si>
    <t>Целевые показатели в области энергосбережения и повышения энергетической эффективности в транспортном комплексе</t>
  </si>
  <si>
    <t>Количество транспортных средств, относящихся к общественному транспорту,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регулирование тарифов на услуги по перевозке на которых осуществляется Удмуртской Республикой</t>
  </si>
  <si>
    <t>Общие целевые показатели в области энергосбережения и повышения энергетической эффективности</t>
  </si>
  <si>
    <t>%</t>
  </si>
  <si>
    <t xml:space="preserve">кг.у.т./м²
</t>
  </si>
  <si>
    <t>ед.</t>
  </si>
  <si>
    <t>кВтч/чел</t>
  </si>
  <si>
    <t xml:space="preserve">кг.у.т./Гкал
</t>
  </si>
  <si>
    <t xml:space="preserve">кВтч/Гкал
</t>
  </si>
  <si>
    <t>кВтч/м3</t>
  </si>
  <si>
    <t xml:space="preserve">кВтч./м²
</t>
  </si>
  <si>
    <t>Управление ЖКХ Администрации г. Воткинска</t>
  </si>
  <si>
    <t>Оценка энергоэффективности по отраслям экономики УР</t>
  </si>
  <si>
    <t>Проведение мониторинга энергоэффективности организаций, финансируемых из бюджетов муниципальных образований</t>
  </si>
  <si>
    <t>Оценка энергоэффективности бюджетной сферы УР</t>
  </si>
  <si>
    <t>Проведение обучения специалистов органов местного самоуправления, организаций с участием  муниципальных образований, а также других организаций в области энергосбережения и повышения энергетической эффективности</t>
  </si>
  <si>
    <t xml:space="preserve">Повышение качества работы предприятий и организаций в области энергосбережения и повышение энергоэффективности </t>
  </si>
  <si>
    <t>Развитие регионального сегмента государственной информационной системы в области энергосбережения и повышения энергетической эффективности</t>
  </si>
  <si>
    <t>Функциональное расширение регионального сегмента ГИС. Систематизация информации, используемой для оценки энергоэффективности организаций, финансируемых из бюджета муниципального образования</t>
  </si>
  <si>
    <t>Управление муниципального имущества и земельных ресурсов г. Воткинска, Управление ЖКХ Администрации г. Воткинска</t>
  </si>
  <si>
    <t>Замена ветхих оконных блоков на энергосберегающие, замена входных групп</t>
  </si>
  <si>
    <t xml:space="preserve">Снижение объемов потребления тепловой энергии в сопоставимых условиях на 4974 Гкал в год (12,6%). Сокращение бюджетных расходов на оплату тепловой энергии на 7353 тыс.руб. в год (в ценах 2012 года) </t>
  </si>
  <si>
    <t>Реализация мероприятий на объектах организаций, оказывающих услуги теплоснабжения на территории МО «Город Воткинск»</t>
  </si>
  <si>
    <t>04</t>
  </si>
  <si>
    <t>Реализация мероприятий на объектах организаций, оказывающих услуги водоснабжения и водоотведения  на территории МО «Город Воткинск»</t>
  </si>
  <si>
    <t>Реализация мероприятий на объектах электросетевых организаций, оказывающих услуги по передаче электрической энергии на территории МО "Город Воткинск"</t>
  </si>
  <si>
    <t>Сокращение потерь электроэнергии при ее передаче по распределительным сетям</t>
  </si>
  <si>
    <t>06</t>
  </si>
  <si>
    <t>Ремонт межпанельных швов</t>
  </si>
  <si>
    <t xml:space="preserve">Утепление торцевых стен панельных домов </t>
  </si>
  <si>
    <t>Утепление чердачного перекрытия</t>
  </si>
  <si>
    <t>Установка пластиковых окон в подъездах</t>
  </si>
  <si>
    <t>Установка входных дверей в подъезд</t>
  </si>
  <si>
    <t>Изоляция трубопроводов в подвале и чердаке</t>
  </si>
  <si>
    <t>Ремонт электрооборудования</t>
  </si>
  <si>
    <t>Управление ЖКХ Администрации г. Воткинска Управляющие компании и ТСЖ</t>
  </si>
  <si>
    <t>Управление ЖКХ Администрации г. Воткинска, Управление образования, Управление культуры, спорта и молодежной политики, Управление по делам архивов</t>
  </si>
  <si>
    <t xml:space="preserve">Управление ЖКХ Администрации г. Воткинска, Управление образования, Управление культуры, спорта и молодежной политики </t>
  </si>
  <si>
    <t>Нет объемов финансирования</t>
  </si>
  <si>
    <t>Реализация  энергоэффективных мероприятий в бюджетных учреждениях МО "Город Воткинск"</t>
  </si>
  <si>
    <t>факт на конец отчетного периода*</t>
  </si>
  <si>
    <t>Представление некорректной информации</t>
  </si>
  <si>
    <t>иные источники****</t>
  </si>
  <si>
    <t>Мероприятия по организации выявления бесхозяйных объектов недвижимого имущества, используемых для передачи энергетических ресурсов (включая газоснабжение, теплоснабжение и электроснабжение), постановки в установленном порядке на учет и признанию права муниципальной собственности на них, а также по организации управления такими объектами с момента их выявления, в том числе по определению источника компенсации возникающих при эксплуатации нормативных потерь энергетических ресурсов</t>
  </si>
  <si>
    <t>1</t>
  </si>
  <si>
    <t>3</t>
  </si>
  <si>
    <t>Реализация мероприятий по восстановлению и устройству сетей уличного освещения муниципального образования "Город Воткинск"</t>
  </si>
  <si>
    <t xml:space="preserve">Реализация мероприятий по восстановлению и устройству сетей уличного освещения муниципального образования "Город Воткинск" </t>
  </si>
  <si>
    <t>Относительное отклонение факта от плана</t>
  </si>
  <si>
    <t>08001S5770</t>
  </si>
  <si>
    <t>****- средства управляющих компаний, бюджетных учреждений (за счет внебюджетных источников)  (данные УК и бюджетных организаций)</t>
  </si>
  <si>
    <t>Ремонт и утепление кровли, утепление ограждающих конструкций (обшивка панелями, теплоизоляция), заделка межпанельных и компенсационных швов в стенах зданий, ремонт цоколя</t>
  </si>
  <si>
    <t xml:space="preserve">Снижение объемов потребления тепловой энергии в сопоставимых условиях на 1201,5,3 Гкал в год (3,0%). Сокращение бюджетных расходов на оплату тепловой энергии на 1672,4 тыс.руб. в год (в ценах 2012 года) </t>
  </si>
  <si>
    <t>Управление ЖКХ Администрации г. Воткинска, МУП «Водоканал»</t>
  </si>
  <si>
    <t>Утверждаю</t>
  </si>
  <si>
    <t>факт на начало отчетного периода (за прошлый год)**</t>
  </si>
  <si>
    <t>Расчет и анализ показателя не ведется в связи с отсутствием официальной статистической информации.</t>
  </si>
  <si>
    <t>Удельный расход природного газа в многоквартирных домах с иными системами теплоснабжения</t>
  </si>
  <si>
    <t>**  В графе "факт на начало отчетного периода (за прошлый год)" указано плановое значение показателя на 2016 год, показатели будут откорректированы в июле 2017 года</t>
  </si>
  <si>
    <t>Проведение мониторинга энергоэффективности предприятий, оказывающих услуги теплоснабжения, водоснабжения и водоотведения на территории муниципального образования</t>
  </si>
  <si>
    <t>Управление ЖКХ Администрации г. Воткинска, управляющие компании и ТСЖ</t>
  </si>
  <si>
    <t xml:space="preserve">Сокращение доли бесхозяйных объектов теплоэнергетического хозяйства, объектов систем теплоснабжения,  электроснабжения, водоснабжения, водоотведения и газоснабжения 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</si>
  <si>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</si>
  <si>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</si>
  <si>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</si>
  <si>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</si>
  <si>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 Администрации  города Воткинска</t>
  </si>
  <si>
    <r>
      <t xml:space="preserve">Форма 7. </t>
    </r>
    <r>
      <rPr>
        <sz val="12"/>
        <color indexed="8"/>
        <rFont val="Times New Roman"/>
        <family val="1"/>
        <charset val="204"/>
      </rPr>
      <t xml:space="preserve">Результаты оценки эффективности муниципальной  программы </t>
    </r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</si>
  <si>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</si>
  <si>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</si>
  <si>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</si>
  <si>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</si>
  <si>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</si>
  <si>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</si>
  <si>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</si>
  <si>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</si>
  <si>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Управление жилищно-коммунального хозяйства Администрации города Воткинска</t>
  </si>
  <si>
    <t>И</t>
  </si>
  <si>
    <t>Кассовые расходы, %</t>
  </si>
  <si>
    <t>Наименование муниципальной программы, подпрограммы, основного мероприятия, мероприятия</t>
  </si>
  <si>
    <t>Расходы бюджета муниципального образования, тыс. рублей</t>
  </si>
  <si>
    <t>Отсутствие финансирования программы из бюджета УР</t>
  </si>
  <si>
    <t>Управление муниципального имущества и земельных ресурсов города Воткинска</t>
  </si>
  <si>
    <t>Управление ЖКХ Администрации города Воткинска</t>
  </si>
  <si>
    <t>Динамика показателя положительная</t>
  </si>
  <si>
    <t>Снижение показателя связано с высоким процентом износа водопроводных сетей.</t>
  </si>
  <si>
    <t>Отчет не представляется, так как в рамках реализации муниципальной программы оказание муниципальных услуг (выполнение работ) не предусмотрено.</t>
  </si>
  <si>
    <t xml:space="preserve">к плану на  1 января отчетного года
</t>
  </si>
  <si>
    <t xml:space="preserve">к плану на отчетную дату
</t>
  </si>
  <si>
    <t>Мероприятия по организации выявления бесхозяйных объектов недвижимого имущества, используемых для передачи энергетических ресурсов (включая газоснабжение, теплоснабжение, электроснабжение, водоснабжение и водоотведение), постановки в установленном порядке на учет и признанию права муниципальной собственности на них, а также по организации управления такими объектами с момента их выявления, в том числе по определению источника компенсации возникающих при эксплуатации нормативных потерь энергетических ресурсов</t>
  </si>
  <si>
    <t>Установка и замена приборов учета тепловой энергии, электрической энергии и воды</t>
  </si>
  <si>
    <t>Управление ЖКХ Администрации г. Воткинска, Управление образования, Управление культуры, спорта и молодежной политики, Управление ЗАГС, Управление по делам архивов</t>
  </si>
  <si>
    <t xml:space="preserve">Исполнение Федерального закона от 23 ноября 2009 года 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    </t>
  </si>
  <si>
    <t>Модернизация системы освещения здания, замена энергосберегающих светильников и ламп, установка датчиков присутствия на объектах бюджетной сферы</t>
  </si>
  <si>
    <t>Снижение объемов потребления электроэнергии в сопоставимых условиях на 1299 тыс. кВтч в год (18,0%). Сокращение бюджетных расходов на оплату электроэнергии на 3120 тыс. руб. в год (в ценах 2012 года)</t>
  </si>
  <si>
    <t>Разработка и (или) ежегодная актуализация схем водоснабжения и водоотведения муниципального образования «Город Воткинск»</t>
  </si>
  <si>
    <t>Исполнение требований Федерального Закона от 07.12.2011 года №416-ФЗ  «О водоснабжении и водоотведении»</t>
  </si>
  <si>
    <t>6</t>
  </si>
  <si>
    <t>Изменение ресурсного обеспечения программы, перечня основных мероприятий, сведений о составе и значениях целевых показателей (индикаторов) муниципальной программы</t>
  </si>
  <si>
    <t>08005S5770</t>
  </si>
  <si>
    <t>0800505770</t>
  </si>
  <si>
    <t>0800105770</t>
  </si>
  <si>
    <t>Расчет и анализ показателя не ведется в связи с отсутствием официальных источников информации</t>
  </si>
  <si>
    <t>_______________ А.А. Гредягин</t>
  </si>
  <si>
    <t xml:space="preserve">** -  значение показателей (индикаторов) за 1 полугодие  некорректные, так как  рассчитывается в целом по году. </t>
  </si>
  <si>
    <t xml:space="preserve"> *** - в связи с отсутствием официальной статистической информации для расчета показателей, значения носят оценочный характер.</t>
  </si>
  <si>
    <t>Удельный расход природного газа в многоквартирных домах с индивидуальными системами газового отопления***</t>
  </si>
  <si>
    <t>*- Перечень целевых показателей регламентирован Постановлением Правительства Российской Федерации от 31.12.2009 №1225 «О требованиях к региональным и муниципальным программам в области энергосбережения и повышения энергетической эффективности». Значения целевых показателей  носят предварительный характер и будут определены по итогам 2019 года</t>
  </si>
  <si>
    <t>Система на территории УР не функционирует с 2018 года</t>
  </si>
  <si>
    <t>Ежемесячно осуществляется сбор информации потребления ТЭР по бюджетным учреждениям, свод осуществляется в формате Exel</t>
  </si>
  <si>
    <t xml:space="preserve">Отсутствие достаточного финансирования </t>
  </si>
  <si>
    <t xml:space="preserve">Сокращение потерь электроэнергии при ее передаче по распределительным сетям. </t>
  </si>
  <si>
    <t>Мероприятия не проводились в связи с отсутствием финансирования</t>
  </si>
  <si>
    <t>15</t>
  </si>
  <si>
    <t>Модернизация инженерных систем (ГВС, ХВС, отопление, водоотведение)</t>
  </si>
  <si>
    <t xml:space="preserve">Снижение объемов потребления тепловой энергии в сопоставимых условиях на 379,3 Гкал в год (1,0%). Сокращение бюджетных расходов на оплату тепловой энергии на 420,1 тыс.руб. в год (в ценах 2012 года) </t>
  </si>
  <si>
    <t>Создание информационных систем в области энергосбережения и повышения энергетической эффективности (установка оборудования для диспетчеризации узла учета потребления энергоресурсов на объектах бюджетной сферы)</t>
  </si>
  <si>
    <t>Исполнение Федерального закона от 23 ноября 2009 года 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Федерации». Обеспечение надежности и качества теплоснабжения</t>
  </si>
  <si>
    <t xml:space="preserve"> Повышение эффективности потребления энергоресурсов в многоквартирных домах на основе использования при проведении капитальных ремонтов современных энергоэффективных материалов и технологий, а также формирования бережливой модели поведения населения.</t>
  </si>
  <si>
    <t>Нет объемов финансирования из бюджета УР, недостаточное - из местного бюджета</t>
  </si>
  <si>
    <t xml:space="preserve">Заместитель главы Администрации
по архитектуре, строительству,
жилищно-коммунальному
хозяйству и транспорту
</t>
  </si>
  <si>
    <t>Форма 1. Отчет об использовании бюджетных ассигнований бюджета муниципального образования  "Город Воткинск"на реализацию муниципальной программы</t>
  </si>
  <si>
    <t>Ответственный исполнитель Управление ЖКХ Администрации города Воткинска</t>
  </si>
  <si>
    <t>Заместитель главы Администрации 
по архитектуре, строительству,
жилищно-коммунальному
хозяйству и транспорту</t>
  </si>
  <si>
    <t>Динамика показателя положительная,связана с экономией э/э после реализации мероприятий по замене светильников в рамках энергосервисного контракта,а также увеличением площади освещения ввиду вновь установленных светильников</t>
  </si>
  <si>
    <t>Повышение энергоэффективности работы насосных агерегатов на очистных сооружениях канализации</t>
  </si>
  <si>
    <t>Энергосбережение и повышение энергетической эффективности в МО "Город Воткинск"  на 2020-2024 годы</t>
  </si>
  <si>
    <t xml:space="preserve">Перевод котельных №  6 в автоматический
режим работы с применением погодного регулирования тепловой нагрузки без присутствия обслуживающего персонала
</t>
  </si>
  <si>
    <t>Повышение качества и надежности теплоснабжения, снижение объекмов потребления топлива. Экономический эффект оценивается в 7000 тыс.руб. Срок окупаемости 2 года</t>
  </si>
  <si>
    <t>Форма 6. Сведения о внесенных за отчетный период изменениях в муниципальную программу за 2020 год</t>
  </si>
  <si>
    <r>
      <t>кВтч/м</t>
    </r>
    <r>
      <rPr>
        <vertAlign val="superscript"/>
        <sz val="10"/>
        <rFont val="Times New Roman"/>
        <family val="1"/>
        <charset val="204"/>
      </rPr>
      <t>2</t>
    </r>
  </si>
  <si>
    <r>
      <t>Гкал/м</t>
    </r>
    <r>
      <rPr>
        <vertAlign val="superscript"/>
        <sz val="10"/>
        <rFont val="Times New Roman"/>
        <family val="1"/>
        <charset val="204"/>
      </rPr>
      <t>2</t>
    </r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</si>
  <si>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/чел</t>
    </r>
  </si>
  <si>
    <t>Наименование муниципальной программы «Энергосбережение и повышение энергетической эффективности на 2020-2024 годы»</t>
  </si>
  <si>
    <t>Энергосбережение и повышение энергетической эффективности в МО "Город Воткинск" на 2020-2024 годы</t>
  </si>
  <si>
    <t>Отчет о реализации муниципальной программы "Энергосбережение и повышение энергетической эффективности муниципального образования "Город Воткинск" на 2020-2024 годы</t>
  </si>
  <si>
    <t>*  Перечень целевых показателей регламентирован Постановлением Правительства Российской Федерации от 31.12.2009 №1225 «О требованиях к региональным и муниципальным программам в области энергосбережения и повышения энергетической эффективности». Значения целевых показателей  носят предварительный характер и будут определены по итогам 2017 года</t>
  </si>
  <si>
    <t>Энергосбережение и повышение энергетической эффективности в муниципального образования "Город Воткинск" на 2020-2024 годы"</t>
  </si>
  <si>
    <r>
      <t>м</t>
    </r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>/м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</si>
  <si>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Гкал/м</t>
    </r>
    <r>
      <rPr>
        <vertAlign val="superscript"/>
        <sz val="9"/>
        <rFont val="Times New Roman"/>
        <family val="1"/>
        <charset val="204"/>
      </rPr>
      <t>2</t>
    </r>
  </si>
  <si>
    <r>
      <t>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/чел</t>
    </r>
  </si>
  <si>
    <t xml:space="preserve">      На территории муниципального образования «Город Воткинск» заключен энергосервисный контракт № 0113300002017000094 от 27 декабря 2017 года.Предметом контракта является осуществление действий по проведению энергоэффективных мероприятий, направленных на энергосбережение и повышение энергетической эффективности использования энергетических ресурсов при эксплуатации сетей уличного освещения МО «Город Воткинск». </t>
  </si>
  <si>
    <t>За счет экономии денежных средств,в связи с проведением аукционов в электронном виде денежные средства были освоены не в полном объме.Паспортизация сетей проводится в период с мая п о октябрь.</t>
  </si>
  <si>
    <t xml:space="preserve"> В рамках  Государственной программы УР «Энергоэффективность и развитие энергетики в Удмуртской Республике» и представлением отчета о реализации муниципальной программы «Энергосбережение и повышение энергетической эффективности  в МО «Город Воткинск» на 2020-2024 годы» ежеквартально собирается  и анализируется информация  по потреблению ТЭР  с  ресурсоснабжающих организаций.</t>
  </si>
  <si>
    <t>2021 год</t>
  </si>
  <si>
    <t>2021 год, ежеквартально</t>
  </si>
  <si>
    <t xml:space="preserve">Участие в обучающих семинарах не проводились в связи с мерами по противодействию распространения коронавируса </t>
  </si>
  <si>
    <t>Всего 65 автобуса: из них 9 автобусов у ПАТП (Коробейников) на газовых смесях и сжиженном углеводородном газе, , 48 автобусов Удмуртавтотранс на метане,  6 автобусов на дизельном топливе.Значение показателя стабильное</t>
  </si>
  <si>
    <t>Сравнение фактического значения показателя, рассчитанного по итогам 1 полугодия 2021 года с плановыми значениями на 2020, 2021годы нецелесообразно. Анализ отклонений целевого показателя будет проведен по итогам года.</t>
  </si>
  <si>
    <t>Сводная бюджетная роспись, план на 1 января  2022г.</t>
  </si>
  <si>
    <t>Сводная бюджетная роспись на                 30 .06.2022</t>
  </si>
  <si>
    <t>Кассовое исполнение на 30.06.2022</t>
  </si>
  <si>
    <t>Техническое перевооружение системы теплоснабжения жилого фонда (с установкой блочно-модульной котельной) по ул. Ижевская в г. Воткинске Удмуртской Республики (в том числе ПИР, экспертиза ПСД) (мощность 3,0 МВт)</t>
  </si>
  <si>
    <t>0800562620</t>
  </si>
  <si>
    <t>2</t>
  </si>
  <si>
    <t>2022 год, ежеквартально</t>
  </si>
  <si>
    <t>2022 год</t>
  </si>
  <si>
    <t xml:space="preserve"> В 2021 году проведена оценка эффективности потребления ТЭР бюджетными организациями за 2020 год. Результаты проведенного мониторинга представлены в виде отчетов и доведены до ответственных специалистов. Ежеквартально собирается информация по потреблению ТЭР, для предоставления отчетности в Минэнерго УР.</t>
  </si>
  <si>
    <t xml:space="preserve">Разработка и (или) ежегодная актуализация схемы теплоснабжения в муниципальных образованиях в  Удмуртской Республики </t>
  </si>
  <si>
    <t>5</t>
  </si>
  <si>
    <t>08003S5730</t>
  </si>
  <si>
    <t>244</t>
  </si>
  <si>
    <t>за I полугодие  2022 года</t>
  </si>
  <si>
    <t xml:space="preserve">"_______"_______________2022г. </t>
  </si>
  <si>
    <t>Схема водоснабжения и водоотведения утверждена постановлением Администрации города Воткинска от 27 июля 2021 г. №997 «Об утверждении Схемы водоснабжения и водоотведения муниципального образования «Город Воткинск» УР на период 2021-2045г.г»</t>
  </si>
  <si>
    <t>Мероприятия не проводились в I полугодии 2022 в связи с отсутствием финансирования</t>
  </si>
  <si>
    <t xml:space="preserve">Выделено финансирование из бюджета УР в сумме 209,300 тыс. руб., софинансирование из местного бюджета 2,114 тыс. руб. По состоянию на отчетную дату направлены коммерческие предложения кадастровым инженерам, проводятся конкурсные процедуры. Срок исполнения контракта 01.10.2022. </t>
  </si>
  <si>
    <t>2022 год, при условии финансирования</t>
  </si>
  <si>
    <t>В детских садах, школах в учреждениях культуры, спорта проведены мероприятия по замене входных дверей, окон, ремонт системы отопления, ХВС, ремонт кровли, ремонт внутренних систем водоснабжеия и канализации, замена приборов учета, замена электрооборудования, КПК по электробезопасности, обучение работников в области ГО и ЧС .  Из бюджета МО израсходовано - 749,285 тыс. руб. Работы будут продолжены во втором полугодии 2022года</t>
  </si>
  <si>
    <t>За счет средств на текущий и капитальный ремонт предприятия МУП "Водоканал" за   I  полугодие 2022 год отремонтировано 270 м водопровода на сумму 678,743 тыс. руб.,канализации отремонтировано 50 м  на сумму  347 тыс.руб.,капитальный ремонт насос скважины -3 шт.,</t>
  </si>
  <si>
    <t>Реализация энергоэффективных мероприятий на объектах многоквартирного жилищного фонда МО "Город Воткинск" (мероприятие реализовывается в соответствии с подпрограммой "Содержание и развитие жилищного хозяйства города Воткинска" (2015-2019 годы)" муниципальной программы города Воткинска "Содержание и развитие муниципального хозяйства" (2020-2024 годы)")</t>
  </si>
  <si>
    <t>2022 год, за счет средств собственников</t>
  </si>
  <si>
    <t xml:space="preserve">Мероприятия не проводились в связи с отсутствием финансирования.Работы запланированны на II полугодие 2022 года.  </t>
  </si>
  <si>
    <t>30 декабря 2021 г.</t>
  </si>
  <si>
    <t>Форма 2. Отчет о расходах на реализацию муниципальной программы за счет всех источников финансирования на 30.06.2022г.</t>
  </si>
  <si>
    <t xml:space="preserve">Управляющими компаниями муниципального образования «Город Воткинск» были проведены следующие энергоэффективные мероприятия:
- Ремонт межпанельных швов – 1079,071 тыс. рублей;
- Утепление торцевых стен панельных домов –  979, 170тыс. рублей;
- Утепление чердачного перекрытия – 419,458 тыс. рублей;
- Установка пластиковых окон и входных дверей в подъездах –  1 165,138 тыс. рублей;
- Изоляция трубопроводов в подвале и чердаке –  21,374 тыс. руб.;
- Ремонт электрооборудования –  1527,067 тыс. рублей;
- Установка и замена приборов учета –  1 183,29 тыс. рублей.
</t>
  </si>
  <si>
    <t>Значение показателя ориентировочно по 2021году, будет откорретировано по факту 2022</t>
  </si>
  <si>
    <t>Отрицательная динамика показателей может быть обусловлена изменением расчета их параметров с сентября 2021 года (в связи со сменой единой теплоснабжающей организации в зоне выработки АО "Воткинский завод"). Корректная статистика показателей будет по факту 2022</t>
  </si>
  <si>
    <t>Значение показателя ориентировочно по 2021 году, будет откорретировано по факту 2022</t>
  </si>
  <si>
    <t>Сравнение фактического значения показателя, рассчитанного по итогам 1 полугодия 2022 года с плановыми значениями на 2021, 2022годы нецелесообразно. Анализ отклонений целевого показателя будет проведен по итогам года.</t>
  </si>
  <si>
    <t>Значение показателя ориентировочно по 2021 году, будет откорретировано по итогам года на основании данных, представленных АНО "Центр развития дизайна, городской среды и энергосбережения УР"</t>
  </si>
  <si>
    <t>Сравнение фактического значения показателя, рассчитанного по итогам 1 полугодия 2022 года с плановыми значениями на 2020, 2021годы нецелесообразно. Анализ отклонений целевого показателя будет проведен по итогам года.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</si>
</sst>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0.00000"/>
    <numFmt numFmtId="167" formatCode="&quot;0&quot;#"/>
  </numFmts>
  <fonts count="4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34" fillId="0" borderId="0" xfId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0" xfId="0" applyFill="1" applyBorder="1"/>
    <xf numFmtId="0" fontId="11" fillId="0" borderId="0" xfId="0" applyFont="1" applyFill="1"/>
    <xf numFmtId="0" fontId="11" fillId="0" borderId="0" xfId="0" applyFont="1" applyFill="1" applyAlignment="1"/>
    <xf numFmtId="0" fontId="1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Border="1"/>
    <xf numFmtId="0" fontId="10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0" fillId="0" borderId="0" xfId="0" applyNumberFormat="1" applyBorder="1"/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Fill="1"/>
    <xf numFmtId="0" fontId="24" fillId="0" borderId="0" xfId="0" applyFont="1" applyFill="1" applyBorder="1" applyAlignment="1">
      <alignment vertic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/>
    <xf numFmtId="0" fontId="9" fillId="0" borderId="0" xfId="0" applyFont="1" applyFill="1"/>
    <xf numFmtId="0" fontId="9" fillId="0" borderId="0" xfId="0" applyFont="1" applyFill="1" applyAlignment="1"/>
    <xf numFmtId="0" fontId="1" fillId="0" borderId="0" xfId="0" applyFont="1" applyFill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164" fontId="36" fillId="0" borderId="2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center" vertical="center"/>
    </xf>
    <xf numFmtId="10" fontId="27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left" vertical="top" wrapText="1"/>
    </xf>
    <xf numFmtId="165" fontId="11" fillId="0" borderId="0" xfId="0" applyNumberFormat="1" applyFont="1" applyFill="1" applyBorder="1" applyAlignment="1">
      <alignment horizontal="left" vertical="top" wrapText="1"/>
    </xf>
    <xf numFmtId="165" fontId="3" fillId="3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vertical="center"/>
    </xf>
    <xf numFmtId="165" fontId="37" fillId="0" borderId="0" xfId="0" applyNumberFormat="1" applyFont="1" applyFill="1" applyBorder="1"/>
    <xf numFmtId="0" fontId="37" fillId="0" borderId="0" xfId="0" applyFont="1" applyFill="1"/>
    <xf numFmtId="0" fontId="28" fillId="0" borderId="1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0" fontId="37" fillId="0" borderId="0" xfId="0" applyNumberFormat="1" applyFont="1" applyFill="1"/>
    <xf numFmtId="9" fontId="27" fillId="0" borderId="1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Fill="1"/>
    <xf numFmtId="0" fontId="28" fillId="0" borderId="0" xfId="0" applyFont="1" applyFill="1" applyAlignment="1">
      <alignment vertical="center" wrapText="1"/>
    </xf>
    <xf numFmtId="165" fontId="37" fillId="0" borderId="1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horizontal="left"/>
    </xf>
    <xf numFmtId="0" fontId="37" fillId="0" borderId="0" xfId="0" applyFont="1" applyFill="1" applyAlignment="1">
      <alignment vertical="center"/>
    </xf>
    <xf numFmtId="165" fontId="37" fillId="0" borderId="0" xfId="0" applyNumberFormat="1" applyFont="1" applyFill="1"/>
    <xf numFmtId="10" fontId="19" fillId="0" borderId="0" xfId="0" applyNumberFormat="1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/>
    </xf>
    <xf numFmtId="165" fontId="19" fillId="0" borderId="0" xfId="0" applyNumberFormat="1" applyFont="1" applyFill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165" fontId="28" fillId="0" borderId="2" xfId="0" applyNumberFormat="1" applyFont="1" applyFill="1" applyBorder="1" applyAlignment="1">
      <alignment horizontal="left" vertical="top" wrapText="1"/>
    </xf>
    <xf numFmtId="165" fontId="28" fillId="0" borderId="1" xfId="0" applyNumberFormat="1" applyFont="1" applyFill="1" applyBorder="1" applyAlignment="1">
      <alignment vertical="center" wrapText="1"/>
    </xf>
    <xf numFmtId="165" fontId="27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left" vertical="top" wrapText="1"/>
    </xf>
    <xf numFmtId="165" fontId="28" fillId="0" borderId="0" xfId="0" applyNumberFormat="1" applyFont="1" applyFill="1" applyBorder="1" applyAlignment="1">
      <alignment horizontal="left" vertical="top" wrapText="1"/>
    </xf>
    <xf numFmtId="2" fontId="28" fillId="0" borderId="5" xfId="0" applyNumberFormat="1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left" vertical="top" wrapText="1"/>
    </xf>
    <xf numFmtId="2" fontId="28" fillId="0" borderId="4" xfId="0" applyNumberFormat="1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37" fillId="0" borderId="3" xfId="0" applyFont="1" applyFill="1" applyBorder="1"/>
    <xf numFmtId="0" fontId="37" fillId="0" borderId="3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vertical="center" wrapText="1"/>
    </xf>
    <xf numFmtId="2" fontId="37" fillId="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2" fontId="3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164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35" fillId="0" borderId="6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6" fillId="0" borderId="1" xfId="0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textRotation="90" wrapText="1"/>
    </xf>
    <xf numFmtId="0" fontId="27" fillId="0" borderId="1" xfId="0" applyFont="1" applyFill="1" applyBorder="1" applyAlignment="1">
      <alignment horizontal="center" vertical="center" textRotation="90" wrapText="1"/>
    </xf>
    <xf numFmtId="164" fontId="27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/>
    <xf numFmtId="49" fontId="36" fillId="0" borderId="1" xfId="0" applyNumberFormat="1" applyFont="1" applyFill="1" applyBorder="1" applyAlignment="1">
      <alignment horizontal="center"/>
    </xf>
    <xf numFmtId="165" fontId="36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/>
    <xf numFmtId="49" fontId="3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center"/>
    </xf>
    <xf numFmtId="49" fontId="35" fillId="0" borderId="6" xfId="0" applyNumberFormat="1" applyFont="1" applyFill="1" applyBorder="1" applyAlignment="1">
      <alignment horizontal="center" vertical="center"/>
    </xf>
    <xf numFmtId="49" fontId="35" fillId="0" borderId="8" xfId="0" applyNumberFormat="1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49" fontId="35" fillId="0" borderId="7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applyFill="1" applyBorder="1"/>
    <xf numFmtId="0" fontId="14" fillId="0" borderId="9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8" fillId="0" borderId="0" xfId="1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2" fontId="37" fillId="0" borderId="1" xfId="0" applyNumberFormat="1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/>
    <xf numFmtId="0" fontId="8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vertical="center"/>
    </xf>
    <xf numFmtId="0" fontId="19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0" fontId="19" fillId="0" borderId="10" xfId="0" applyNumberFormat="1" applyFont="1" applyFill="1" applyBorder="1" applyAlignment="1">
      <alignment horizontal="left" vertical="center" wrapText="1"/>
    </xf>
    <xf numFmtId="10" fontId="19" fillId="0" borderId="0" xfId="0" applyNumberFormat="1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vertical="center" wrapText="1"/>
    </xf>
    <xf numFmtId="0" fontId="35" fillId="0" borderId="7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8</xdr:row>
      <xdr:rowOff>19050</xdr:rowOff>
    </xdr:from>
    <xdr:to>
      <xdr:col>6</xdr:col>
      <xdr:colOff>685800</xdr:colOff>
      <xdr:row>8</xdr:row>
      <xdr:rowOff>171450</xdr:rowOff>
    </xdr:to>
    <xdr:pic>
      <xdr:nvPicPr>
        <xdr:cNvPr id="1803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572000" y="247650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295275</xdr:colOff>
      <xdr:row>8</xdr:row>
      <xdr:rowOff>28575</xdr:rowOff>
    </xdr:from>
    <xdr:to>
      <xdr:col>7</xdr:col>
      <xdr:colOff>561975</xdr:colOff>
      <xdr:row>8</xdr:row>
      <xdr:rowOff>180975</xdr:rowOff>
    </xdr:to>
    <xdr:pic>
      <xdr:nvPicPr>
        <xdr:cNvPr id="1803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353050" y="2486025"/>
          <a:ext cx="2667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8</xdr:row>
      <xdr:rowOff>19050</xdr:rowOff>
    </xdr:from>
    <xdr:to>
      <xdr:col>8</xdr:col>
      <xdr:colOff>571500</xdr:colOff>
      <xdr:row>8</xdr:row>
      <xdr:rowOff>171450</xdr:rowOff>
    </xdr:to>
    <xdr:pic>
      <xdr:nvPicPr>
        <xdr:cNvPr id="1803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210300" y="2476500"/>
          <a:ext cx="285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314325</xdr:colOff>
      <xdr:row>8</xdr:row>
      <xdr:rowOff>19050</xdr:rowOff>
    </xdr:from>
    <xdr:to>
      <xdr:col>9</xdr:col>
      <xdr:colOff>571500</xdr:colOff>
      <xdr:row>8</xdr:row>
      <xdr:rowOff>171450</xdr:rowOff>
    </xdr:to>
    <xdr:pic>
      <xdr:nvPicPr>
        <xdr:cNvPr id="1803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077075" y="2476500"/>
          <a:ext cx="2571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314325</xdr:colOff>
      <xdr:row>8</xdr:row>
      <xdr:rowOff>28575</xdr:rowOff>
    </xdr:from>
    <xdr:to>
      <xdr:col>10</xdr:col>
      <xdr:colOff>476250</xdr:colOff>
      <xdr:row>8</xdr:row>
      <xdr:rowOff>180975</xdr:rowOff>
    </xdr:to>
    <xdr:pic>
      <xdr:nvPicPr>
        <xdr:cNvPr id="1803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067675" y="2486025"/>
          <a:ext cx="1619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48;&#1057;&#1050;%20D\&#1057;&#1042;&#1045;&#1058;&#1040;\&#1055;&#1056;&#1054;&#1043;&#1056;&#1040;&#1052;&#1052;&#1040;%20&#1069;&#1053;&#1045;&#1056;&#1043;&#1054;&#1057;&#1041;&#1045;&#1056;&#1045;&#1046;&#1045;&#1053;&#1048;&#1071;\&#1055;&#1056;&#1054;&#1043;&#1056;&#1040;&#1052;&#1052;&#1040;%20&#1055;&#1054;%20&#1069;&#1057;%202015-2020%20&#1075;&#1086;&#1076;&#1099;\&#1086;&#1090;&#1095;&#1077;&#1090;%202020%20&#1075;&#1086;&#1076;\&#1054;&#1090;&#1095;&#1077;&#1090;%20&#1087;&#1086;%20&#1052;&#1055;%20&#1079;&#1072;%202020%20&#1075;&#1086;&#1076;\&#1050;&#1086;&#1087;&#1080;&#1103;%201%20&#1087;&#1088;&#1080;&#1083;&#1086;&#1078;&#1077;&#1085;&#1080;&#1077;%20(1850949%20v1)%20&#1084;&#1086;&#1081;%20&#1092;&#1072;&#1081;&#1083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3;&#1083;&#1072;&#1074;&#1041;&#1091;&#1093;%20&#1046;&#1050;&#1061;\Downloads\&#1050;&#1086;&#1087;&#1080;&#1103;%201%20&#1087;&#1088;&#1080;&#1083;&#1086;&#1078;&#1077;&#1085;&#1080;&#1077;%20(1850949%20v1)%20&#1084;&#1086;&#1081;%20&#1092;&#1072;&#1081;&#1083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42;&#1086;&#1089;&#1089;&#1090;&#1072;&#1085;&#1086;&#1074;&#1083;&#1077;&#1085;&#1080;&#1077;\&#1048;&#1088;&#1080;&#1085;&#1072;\&#1069;&#1085;&#1077;&#1088;&#1075;&#1086;&#1089;&#1073;&#1077;&#1088;&#1077;&#1078;&#1077;&#1085;&#1080;&#1077;\2019\&#1054;&#1058;&#1063;&#1045;&#1058;%20&#1058;&#1069;&#1056;\&#1088;&#1077;&#1089;&#1091;&#1088;&#1089;&#1085;&#1080;&#1082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1   "/>
      <sheetName val="приложение2"/>
      <sheetName val="приложение3 "/>
      <sheetName val="приложение4 "/>
      <sheetName val="приложение 5"/>
      <sheetName val="приложение 6"/>
      <sheetName val="2"/>
      <sheetName val="Новое приложение 1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V16">
            <v>98.983423977494482</v>
          </cell>
        </row>
        <row r="19">
          <cell r="V19">
            <v>78.199996607439331</v>
          </cell>
        </row>
        <row r="22">
          <cell r="V22">
            <v>78.300230657632014</v>
          </cell>
        </row>
        <row r="25">
          <cell r="V25">
            <v>67.868777591697167</v>
          </cell>
        </row>
        <row r="28">
          <cell r="V28">
            <v>95.92789581698834</v>
          </cell>
        </row>
        <row r="33">
          <cell r="V33">
            <v>29.599935135460708</v>
          </cell>
        </row>
        <row r="36">
          <cell r="V36">
            <v>22.931319556702313</v>
          </cell>
        </row>
        <row r="41">
          <cell r="V41">
            <v>0.16836464102201559</v>
          </cell>
        </row>
        <row r="44">
          <cell r="V44">
            <v>5.2539586585985498</v>
          </cell>
        </row>
        <row r="47">
          <cell r="V47">
            <v>3.3833769000395546</v>
          </cell>
        </row>
        <row r="51">
          <cell r="V51">
            <v>247.85581395348837</v>
          </cell>
        </row>
        <row r="57">
          <cell r="V57">
            <v>0.19980821344704613</v>
          </cell>
        </row>
        <row r="60">
          <cell r="V60">
            <v>30.167272157399097</v>
          </cell>
        </row>
        <row r="63">
          <cell r="V63">
            <v>19.13782615178172</v>
          </cell>
        </row>
        <row r="66">
          <cell r="V66">
            <v>20.076297268907567</v>
          </cell>
        </row>
        <row r="69">
          <cell r="V69">
            <v>544.58933481500492</v>
          </cell>
        </row>
        <row r="75">
          <cell r="V75">
            <v>115.39223484564242</v>
          </cell>
        </row>
        <row r="78">
          <cell r="V78">
            <v>35.86202815913866</v>
          </cell>
        </row>
        <row r="82">
          <cell r="V82">
            <v>155.34018894705346</v>
          </cell>
        </row>
        <row r="87">
          <cell r="V87">
            <v>164.04718547054432</v>
          </cell>
        </row>
        <row r="92">
          <cell r="V92">
            <v>14.345843669216839</v>
          </cell>
        </row>
        <row r="95">
          <cell r="V95">
            <v>17.947342081650579</v>
          </cell>
        </row>
        <row r="100">
          <cell r="V100">
            <v>0.48680576162566569</v>
          </cell>
        </row>
        <row r="102">
          <cell r="V102">
            <v>0.39679586492034219</v>
          </cell>
        </row>
        <row r="105">
          <cell r="V105">
            <v>0.97581434674261303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1   "/>
      <sheetName val="приложение2"/>
      <sheetName val="приложение3 "/>
      <sheetName val="приложение4 "/>
      <sheetName val="приложение 5"/>
      <sheetName val="приложение 6"/>
      <sheetName val="2"/>
      <sheetName val="Новое приложение 1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V16">
            <v>98.983423977494482</v>
          </cell>
        </row>
        <row r="19">
          <cell r="V19">
            <v>56.614982276214043</v>
          </cell>
        </row>
        <row r="22">
          <cell r="V22">
            <v>76.786770403235224</v>
          </cell>
        </row>
        <row r="25">
          <cell r="V25">
            <v>11.469541368083558</v>
          </cell>
        </row>
        <row r="28">
          <cell r="V28">
            <v>95.92789581698834</v>
          </cell>
        </row>
        <row r="33">
          <cell r="V33">
            <v>29.530153151469587</v>
          </cell>
        </row>
        <row r="36">
          <cell r="V36">
            <v>22.931319556702313</v>
          </cell>
        </row>
        <row r="41">
          <cell r="V41">
            <v>0.16836464102201559</v>
          </cell>
        </row>
        <row r="44">
          <cell r="V44">
            <v>5.2539586585985498</v>
          </cell>
        </row>
        <row r="47">
          <cell r="V47">
            <v>3.3833769000395546</v>
          </cell>
        </row>
        <row r="51">
          <cell r="V51">
            <v>341.68986083499004</v>
          </cell>
        </row>
        <row r="57">
          <cell r="V57">
            <v>0.12132243788179903</v>
          </cell>
        </row>
        <row r="60">
          <cell r="V60">
            <v>13.96741747517488</v>
          </cell>
        </row>
        <row r="63">
          <cell r="V63">
            <v>8.3301549463647202</v>
          </cell>
        </row>
        <row r="66">
          <cell r="V66">
            <v>10.038148634453783</v>
          </cell>
        </row>
        <row r="69">
          <cell r="V69">
            <v>272.65592456275505</v>
          </cell>
        </row>
        <row r="75">
          <cell r="V75">
            <v>57.612246733005634</v>
          </cell>
        </row>
        <row r="78">
          <cell r="V78">
            <v>20.534304231880252</v>
          </cell>
        </row>
        <row r="82">
          <cell r="V82">
            <v>154.62126878612716</v>
          </cell>
        </row>
        <row r="87">
          <cell r="V87">
            <v>184.3039612193333</v>
          </cell>
        </row>
        <row r="92">
          <cell r="V92">
            <v>13.755027198344832</v>
          </cell>
        </row>
        <row r="95">
          <cell r="V95">
            <v>11.696853408236931</v>
          </cell>
        </row>
        <row r="100">
          <cell r="V100">
            <v>0.47267230673193156</v>
          </cell>
        </row>
        <row r="102">
          <cell r="V102">
            <v>0.40936063903224745</v>
          </cell>
        </row>
        <row r="105">
          <cell r="V105">
            <v>0.97581434674261303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ЭР всего по МО"/>
      <sheetName val="ТЭР по МКД"/>
      <sheetName val="ТЭР по бюдж (данные бюдж)"/>
      <sheetName val="выработка и газ"/>
      <sheetName val="ТЭР по бюдж (данные ресурс)"/>
      <sheetName val="ТЭР по жилым домам"/>
      <sheetName val="Лист2"/>
    </sheetNames>
    <sheetDataSet>
      <sheetData sheetId="0"/>
      <sheetData sheetId="1"/>
      <sheetData sheetId="2"/>
      <sheetData sheetId="3">
        <row r="5">
          <cell r="D5">
            <v>772731</v>
          </cell>
        </row>
        <row r="7">
          <cell r="D7">
            <v>104902.51</v>
          </cell>
        </row>
        <row r="32">
          <cell r="D32">
            <v>817960.84899999993</v>
          </cell>
        </row>
        <row r="35">
          <cell r="D35">
            <v>9101.7570000000014</v>
          </cell>
        </row>
        <row r="38">
          <cell r="D38">
            <v>11861.710999999999</v>
          </cell>
        </row>
        <row r="39">
          <cell r="D39">
            <v>85619.05</v>
          </cell>
        </row>
      </sheetData>
      <sheetData sheetId="4"/>
      <sheetData sheetId="5"/>
      <sheetData sheetId="6">
        <row r="7">
          <cell r="V7">
            <v>4674365</v>
          </cell>
        </row>
        <row r="10">
          <cell r="J10">
            <v>11242167.1</v>
          </cell>
        </row>
        <row r="15">
          <cell r="V15">
            <v>2912904</v>
          </cell>
        </row>
        <row r="20">
          <cell r="V20">
            <v>3305071</v>
          </cell>
        </row>
        <row r="25">
          <cell r="J25">
            <v>154941.39000000001</v>
          </cell>
        </row>
        <row r="28">
          <cell r="V28">
            <v>7855098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81C534AC1618B38338B7138DDEB14344F59B417381706259B468524054C32ECBB30FCA5546109B5D4A4FB16DK3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81C534AC1618B38338B7138DDEB14344F59B417381706259B468524054C32ECBB30FCA5546109B5D4A4FB36DK0O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81C534AC1618B38338B7138DDEB14344F59B417381706259B468524054C32ECBB30FCA5546109B5D4A4FB16DK7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81C534AC1618B38338B7138DDEB14344F59B417381706259B468524054C32ECBB30FCA5546109B5D4A4FBD6DK2O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consultantplus://offline/ref=81C534AC1618B38338B7138DDEB14344F59B417381706259B468524054C32ECBB30FCA5546109B5D4A4FB36DK7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T31"/>
  <sheetViews>
    <sheetView tabSelected="1" topLeftCell="C23" zoomScale="75" zoomScaleNormal="75" workbookViewId="0">
      <selection activeCell="Q26" sqref="Q26:S26"/>
    </sheetView>
  </sheetViews>
  <sheetFormatPr defaultRowHeight="15"/>
  <cols>
    <col min="1" max="1" width="14.28515625" style="23" hidden="1" customWidth="1"/>
    <col min="2" max="2" width="9.140625" style="23" hidden="1" customWidth="1"/>
    <col min="3" max="3" width="5.28515625" style="29" customWidth="1"/>
    <col min="4" max="4" width="5" style="29" customWidth="1"/>
    <col min="5" max="5" width="4.42578125" style="29" customWidth="1"/>
    <col min="6" max="7" width="4.85546875" style="29" customWidth="1"/>
    <col min="8" max="8" width="42.28515625" style="23" customWidth="1"/>
    <col min="9" max="9" width="24.5703125" style="23" customWidth="1"/>
    <col min="10" max="10" width="6" style="23" customWidth="1"/>
    <col min="11" max="11" width="6.140625" style="23" customWidth="1"/>
    <col min="12" max="12" width="5.7109375" style="23" customWidth="1"/>
    <col min="13" max="13" width="13.28515625" style="23" customWidth="1"/>
    <col min="14" max="14" width="5" style="23" customWidth="1"/>
    <col min="15" max="15" width="11" style="23" customWidth="1"/>
    <col min="16" max="16" width="15.5703125" style="23" customWidth="1"/>
    <col min="17" max="17" width="15.28515625" style="23" customWidth="1"/>
    <col min="18" max="18" width="13.7109375" style="23" customWidth="1"/>
    <col min="19" max="19" width="14.5703125" style="23" customWidth="1"/>
    <col min="20" max="20" width="14.42578125" style="23" customWidth="1"/>
    <col min="21" max="16384" width="9.140625" style="23"/>
  </cols>
  <sheetData>
    <row r="1" spans="1:20" hidden="1"/>
    <row r="2" spans="1:20" ht="20.25" customHeight="1">
      <c r="C2" s="191" t="s">
        <v>203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22"/>
    </row>
    <row r="3" spans="1:20" ht="20.25" customHeight="1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22"/>
    </row>
    <row r="4" spans="1:20" ht="20.25" customHeight="1">
      <c r="C4" s="176" t="s">
        <v>215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51"/>
      <c r="T4" s="22"/>
    </row>
    <row r="5" spans="1:20" ht="20.25" customHeight="1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1"/>
      <c r="T5" s="22"/>
    </row>
    <row r="6" spans="1:20" ht="20.25" customHeight="1">
      <c r="C6" s="176" t="s">
        <v>204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55"/>
      <c r="R6" s="55"/>
      <c r="S6" s="51"/>
      <c r="T6" s="22"/>
    </row>
    <row r="7" spans="1:20" ht="25.5" customHeight="1">
      <c r="A7" s="30"/>
      <c r="B7" s="30"/>
      <c r="C7" s="2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25"/>
    </row>
    <row r="8" spans="1:20" ht="24" customHeight="1">
      <c r="A8" s="30"/>
      <c r="B8" s="30"/>
      <c r="C8" s="192" t="s">
        <v>0</v>
      </c>
      <c r="D8" s="192"/>
      <c r="E8" s="192"/>
      <c r="F8" s="192"/>
      <c r="G8" s="192"/>
      <c r="H8" s="192" t="s">
        <v>161</v>
      </c>
      <c r="I8" s="192" t="s">
        <v>1</v>
      </c>
      <c r="J8" s="192" t="s">
        <v>2</v>
      </c>
      <c r="K8" s="192"/>
      <c r="L8" s="192"/>
      <c r="M8" s="192"/>
      <c r="N8" s="192"/>
      <c r="O8" s="192" t="s">
        <v>162</v>
      </c>
      <c r="P8" s="192"/>
      <c r="Q8" s="192"/>
      <c r="R8" s="192" t="s">
        <v>160</v>
      </c>
      <c r="S8" s="192"/>
      <c r="T8" s="26"/>
    </row>
    <row r="9" spans="1:20" ht="15" customHeight="1">
      <c r="A9" s="30"/>
      <c r="B9" s="31"/>
      <c r="C9" s="192"/>
      <c r="D9" s="192"/>
      <c r="E9" s="192"/>
      <c r="F9" s="192"/>
      <c r="G9" s="192"/>
      <c r="H9" s="192"/>
      <c r="I9" s="192"/>
      <c r="J9" s="192" t="s">
        <v>3</v>
      </c>
      <c r="K9" s="192" t="s">
        <v>4</v>
      </c>
      <c r="L9" s="192" t="s">
        <v>5</v>
      </c>
      <c r="M9" s="192" t="s">
        <v>6</v>
      </c>
      <c r="N9" s="192" t="s">
        <v>7</v>
      </c>
      <c r="O9" s="193" t="s">
        <v>231</v>
      </c>
      <c r="P9" s="193" t="s">
        <v>232</v>
      </c>
      <c r="Q9" s="195" t="s">
        <v>233</v>
      </c>
      <c r="R9" s="192" t="s">
        <v>169</v>
      </c>
      <c r="S9" s="192" t="s">
        <v>170</v>
      </c>
    </row>
    <row r="10" spans="1:20" ht="69.75" customHeight="1">
      <c r="A10" s="32"/>
      <c r="B10" s="32"/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159</v>
      </c>
      <c r="H10" s="192"/>
      <c r="I10" s="192"/>
      <c r="J10" s="192"/>
      <c r="K10" s="192"/>
      <c r="L10" s="192"/>
      <c r="M10" s="192"/>
      <c r="N10" s="192"/>
      <c r="O10" s="194"/>
      <c r="P10" s="194"/>
      <c r="Q10" s="192"/>
      <c r="R10" s="192"/>
      <c r="S10" s="192"/>
    </row>
    <row r="11" spans="1:20" ht="18.75" customHeight="1">
      <c r="C11" s="184" t="s">
        <v>44</v>
      </c>
      <c r="D11" s="184"/>
      <c r="E11" s="184"/>
      <c r="F11" s="184"/>
      <c r="G11" s="184"/>
      <c r="H11" s="193" t="s">
        <v>208</v>
      </c>
      <c r="I11" s="145" t="s">
        <v>18</v>
      </c>
      <c r="J11" s="163"/>
      <c r="K11" s="163"/>
      <c r="L11" s="164"/>
      <c r="M11" s="164"/>
      <c r="N11" s="164"/>
      <c r="O11" s="159">
        <f>O12+O13+O17</f>
        <v>1349.3</v>
      </c>
      <c r="P11" s="159">
        <f>P12+P13+P14+P15+P16+P17</f>
        <v>1159.184</v>
      </c>
      <c r="Q11" s="159">
        <f>Q15</f>
        <v>107.834</v>
      </c>
      <c r="R11" s="45">
        <f>(Q11/O11)*100</f>
        <v>7.9918476246942873</v>
      </c>
      <c r="S11" s="45">
        <f>(Q11/P11)*100</f>
        <v>9.3025783654708825</v>
      </c>
    </row>
    <row r="12" spans="1:20" s="166" customFormat="1" ht="24.75" customHeight="1">
      <c r="C12" s="185"/>
      <c r="D12" s="185"/>
      <c r="E12" s="185"/>
      <c r="F12" s="185"/>
      <c r="G12" s="185"/>
      <c r="H12" s="196"/>
      <c r="I12" s="181" t="s">
        <v>165</v>
      </c>
      <c r="J12" s="167">
        <v>935</v>
      </c>
      <c r="K12" s="167" t="s">
        <v>49</v>
      </c>
      <c r="L12" s="167" t="s">
        <v>50</v>
      </c>
      <c r="M12" s="167" t="s">
        <v>242</v>
      </c>
      <c r="N12" s="167" t="s">
        <v>243</v>
      </c>
      <c r="O12" s="168">
        <v>425.8</v>
      </c>
      <c r="P12" s="155">
        <v>8.4000000000000005E-2</v>
      </c>
      <c r="Q12" s="159">
        <v>0</v>
      </c>
      <c r="R12" s="45">
        <f>(Q12/O12)*100</f>
        <v>0</v>
      </c>
      <c r="S12" s="45">
        <f>(Q12/P12)*100</f>
        <v>0</v>
      </c>
    </row>
    <row r="13" spans="1:20" ht="24.75" customHeight="1">
      <c r="C13" s="185"/>
      <c r="D13" s="185"/>
      <c r="E13" s="185"/>
      <c r="F13" s="185"/>
      <c r="G13" s="185"/>
      <c r="H13" s="196"/>
      <c r="I13" s="182"/>
      <c r="J13" s="44">
        <v>935</v>
      </c>
      <c r="K13" s="158" t="s">
        <v>49</v>
      </c>
      <c r="L13" s="158" t="s">
        <v>48</v>
      </c>
      <c r="M13" s="154" t="s">
        <v>181</v>
      </c>
      <c r="N13" s="49">
        <v>244</v>
      </c>
      <c r="O13" s="165">
        <v>918</v>
      </c>
      <c r="P13" s="135">
        <v>548.16</v>
      </c>
      <c r="Q13" s="135">
        <v>0</v>
      </c>
      <c r="R13" s="45">
        <f>(Q13/O13)*100</f>
        <v>0</v>
      </c>
      <c r="S13" s="45">
        <f>(Q13/P13)*100</f>
        <v>0</v>
      </c>
    </row>
    <row r="14" spans="1:20" ht="24.75" customHeight="1">
      <c r="C14" s="185"/>
      <c r="D14" s="185"/>
      <c r="E14" s="185"/>
      <c r="F14" s="185"/>
      <c r="G14" s="185"/>
      <c r="H14" s="196"/>
      <c r="I14" s="182"/>
      <c r="J14" s="44">
        <v>935</v>
      </c>
      <c r="K14" s="158" t="s">
        <v>49</v>
      </c>
      <c r="L14" s="158" t="s">
        <v>48</v>
      </c>
      <c r="M14" s="154" t="s">
        <v>182</v>
      </c>
      <c r="N14" s="49">
        <v>244</v>
      </c>
      <c r="O14" s="135">
        <v>0</v>
      </c>
      <c r="P14" s="135">
        <v>288.3</v>
      </c>
      <c r="Q14" s="165">
        <v>0</v>
      </c>
      <c r="R14" s="45">
        <v>0</v>
      </c>
      <c r="S14" s="45">
        <f>(Q14/P14)*100</f>
        <v>0</v>
      </c>
    </row>
    <row r="15" spans="1:20" s="169" customFormat="1" ht="24.75" customHeight="1">
      <c r="C15" s="185"/>
      <c r="D15" s="185"/>
      <c r="E15" s="185"/>
      <c r="F15" s="185"/>
      <c r="G15" s="185"/>
      <c r="H15" s="196"/>
      <c r="I15" s="200"/>
      <c r="J15" s="161">
        <v>935</v>
      </c>
      <c r="K15" s="161" t="s">
        <v>49</v>
      </c>
      <c r="L15" s="161" t="s">
        <v>48</v>
      </c>
      <c r="M15" s="161" t="s">
        <v>235</v>
      </c>
      <c r="N15" s="161" t="s">
        <v>243</v>
      </c>
      <c r="O15" s="135">
        <v>0</v>
      </c>
      <c r="P15" s="168">
        <v>107.84</v>
      </c>
      <c r="Q15" s="165">
        <v>107.834</v>
      </c>
      <c r="R15" s="45">
        <v>0</v>
      </c>
      <c r="S15" s="45">
        <f>(Q15/P15)*100</f>
        <v>99.994436201780417</v>
      </c>
    </row>
    <row r="16" spans="1:20" ht="47.25" customHeight="1">
      <c r="C16" s="185"/>
      <c r="D16" s="185"/>
      <c r="E16" s="185"/>
      <c r="F16" s="185"/>
      <c r="G16" s="185"/>
      <c r="H16" s="196"/>
      <c r="I16" s="198" t="s">
        <v>164</v>
      </c>
      <c r="J16" s="44">
        <v>939</v>
      </c>
      <c r="K16" s="157" t="s">
        <v>45</v>
      </c>
      <c r="L16" s="158">
        <v>13</v>
      </c>
      <c r="M16" s="158" t="s">
        <v>183</v>
      </c>
      <c r="N16" s="44">
        <v>244</v>
      </c>
      <c r="O16" s="165">
        <v>0</v>
      </c>
      <c r="P16" s="135">
        <v>209.3</v>
      </c>
      <c r="Q16" s="45">
        <v>0</v>
      </c>
      <c r="R16" s="45">
        <v>0</v>
      </c>
      <c r="S16" s="45">
        <f t="shared" ref="S16:S30" si="0">(Q16/P16)*100</f>
        <v>0</v>
      </c>
    </row>
    <row r="17" spans="3:19" ht="75.75" customHeight="1">
      <c r="C17" s="185"/>
      <c r="D17" s="185"/>
      <c r="E17" s="185"/>
      <c r="F17" s="185"/>
      <c r="G17" s="185"/>
      <c r="H17" s="197"/>
      <c r="I17" s="199"/>
      <c r="J17" s="44">
        <v>939</v>
      </c>
      <c r="K17" s="158" t="s">
        <v>45</v>
      </c>
      <c r="L17" s="158" t="s">
        <v>51</v>
      </c>
      <c r="M17" s="158" t="s">
        <v>131</v>
      </c>
      <c r="N17" s="44">
        <v>244</v>
      </c>
      <c r="O17" s="165">
        <v>5.5</v>
      </c>
      <c r="P17" s="165">
        <v>5.5</v>
      </c>
      <c r="Q17" s="165">
        <v>0</v>
      </c>
      <c r="R17" s="45">
        <f t="shared" ref="R17:R30" si="1">(Q17/O17)*100</f>
        <v>0</v>
      </c>
      <c r="S17" s="45">
        <f t="shared" si="0"/>
        <v>0</v>
      </c>
    </row>
    <row r="18" spans="3:19" ht="23.25" customHeight="1">
      <c r="C18" s="144" t="s">
        <v>44</v>
      </c>
      <c r="D18" s="144"/>
      <c r="E18" s="144" t="s">
        <v>45</v>
      </c>
      <c r="F18" s="144"/>
      <c r="G18" s="144"/>
      <c r="H18" s="181" t="s">
        <v>46</v>
      </c>
      <c r="I18" s="145" t="s">
        <v>18</v>
      </c>
      <c r="J18" s="146"/>
      <c r="K18" s="147"/>
      <c r="L18" s="147"/>
      <c r="M18" s="147"/>
      <c r="N18" s="146"/>
      <c r="O18" s="134">
        <v>5.5</v>
      </c>
      <c r="P18" s="134">
        <v>214.8</v>
      </c>
      <c r="Q18" s="134">
        <v>0</v>
      </c>
      <c r="R18" s="45">
        <f t="shared" si="1"/>
        <v>0</v>
      </c>
      <c r="S18" s="45">
        <f t="shared" si="0"/>
        <v>0</v>
      </c>
    </row>
    <row r="19" spans="3:19" ht="36.75" customHeight="1">
      <c r="C19" s="148"/>
      <c r="D19" s="148"/>
      <c r="E19" s="148"/>
      <c r="F19" s="148"/>
      <c r="G19" s="148"/>
      <c r="H19" s="182"/>
      <c r="I19" s="181" t="s">
        <v>164</v>
      </c>
      <c r="J19" s="149">
        <v>939</v>
      </c>
      <c r="K19" s="150" t="s">
        <v>45</v>
      </c>
      <c r="L19" s="150">
        <v>13</v>
      </c>
      <c r="M19" s="150" t="s">
        <v>183</v>
      </c>
      <c r="N19" s="149">
        <v>244</v>
      </c>
      <c r="O19" s="43">
        <v>0</v>
      </c>
      <c r="P19" s="151">
        <v>209.3</v>
      </c>
      <c r="Q19" s="34">
        <v>0</v>
      </c>
      <c r="R19" s="45">
        <v>0</v>
      </c>
      <c r="S19" s="45">
        <f t="shared" si="0"/>
        <v>0</v>
      </c>
    </row>
    <row r="20" spans="3:19" ht="57" customHeight="1">
      <c r="C20" s="148"/>
      <c r="D20" s="148"/>
      <c r="E20" s="148"/>
      <c r="F20" s="148"/>
      <c r="G20" s="148"/>
      <c r="H20" s="182"/>
      <c r="I20" s="183"/>
      <c r="J20" s="149">
        <v>939</v>
      </c>
      <c r="K20" s="150" t="s">
        <v>45</v>
      </c>
      <c r="L20" s="150" t="s">
        <v>51</v>
      </c>
      <c r="M20" s="150" t="s">
        <v>131</v>
      </c>
      <c r="N20" s="149">
        <v>244</v>
      </c>
      <c r="O20" s="35">
        <v>5.5</v>
      </c>
      <c r="P20" s="35">
        <v>5.5</v>
      </c>
      <c r="Q20" s="35">
        <v>0</v>
      </c>
      <c r="R20" s="45">
        <f t="shared" si="1"/>
        <v>0</v>
      </c>
      <c r="S20" s="45">
        <f t="shared" si="0"/>
        <v>0</v>
      </c>
    </row>
    <row r="21" spans="3:19" ht="73.5" customHeight="1">
      <c r="C21" s="177" t="s">
        <v>44</v>
      </c>
      <c r="D21" s="177"/>
      <c r="E21" s="177" t="s">
        <v>45</v>
      </c>
      <c r="F21" s="177" t="s">
        <v>47</v>
      </c>
      <c r="G21" s="177"/>
      <c r="H21" s="179" t="s">
        <v>171</v>
      </c>
      <c r="I21" s="179" t="s">
        <v>164</v>
      </c>
      <c r="J21" s="149">
        <v>939</v>
      </c>
      <c r="K21" s="150" t="s">
        <v>45</v>
      </c>
      <c r="L21" s="150">
        <v>13</v>
      </c>
      <c r="M21" s="150" t="s">
        <v>183</v>
      </c>
      <c r="N21" s="149">
        <v>244</v>
      </c>
      <c r="O21" s="43">
        <v>0</v>
      </c>
      <c r="P21" s="151">
        <v>209.3</v>
      </c>
      <c r="Q21" s="34">
        <v>0</v>
      </c>
      <c r="R21" s="45">
        <v>0</v>
      </c>
      <c r="S21" s="45">
        <f t="shared" si="0"/>
        <v>0</v>
      </c>
    </row>
    <row r="22" spans="3:19" ht="37.5" customHeight="1">
      <c r="C22" s="178"/>
      <c r="D22" s="178"/>
      <c r="E22" s="178"/>
      <c r="F22" s="178"/>
      <c r="G22" s="178"/>
      <c r="H22" s="180"/>
      <c r="I22" s="180"/>
      <c r="J22" s="149">
        <v>939</v>
      </c>
      <c r="K22" s="150" t="s">
        <v>45</v>
      </c>
      <c r="L22" s="150" t="s">
        <v>51</v>
      </c>
      <c r="M22" s="150" t="s">
        <v>131</v>
      </c>
      <c r="N22" s="149">
        <v>244</v>
      </c>
      <c r="O22" s="35">
        <v>5.5</v>
      </c>
      <c r="P22" s="35">
        <v>5.5</v>
      </c>
      <c r="Q22" s="35">
        <v>0</v>
      </c>
      <c r="R22" s="45">
        <f t="shared" si="1"/>
        <v>0</v>
      </c>
      <c r="S22" s="45">
        <f t="shared" si="0"/>
        <v>0</v>
      </c>
    </row>
    <row r="23" spans="3:19" ht="37.5" customHeight="1">
      <c r="C23" s="177" t="s">
        <v>44</v>
      </c>
      <c r="D23" s="177"/>
      <c r="E23" s="177" t="s">
        <v>48</v>
      </c>
      <c r="F23" s="177"/>
      <c r="G23" s="177"/>
      <c r="H23" s="179" t="s">
        <v>104</v>
      </c>
      <c r="I23" s="152" t="s">
        <v>18</v>
      </c>
      <c r="J23" s="149">
        <v>935</v>
      </c>
      <c r="K23" s="150"/>
      <c r="L23" s="150"/>
      <c r="M23" s="150"/>
      <c r="N23" s="149"/>
      <c r="O23" s="43">
        <v>425.8</v>
      </c>
      <c r="P23" s="43">
        <f>SUM(P24:P24)</f>
        <v>8.4000000000000005E-2</v>
      </c>
      <c r="Q23" s="43">
        <f>SUM(Q24:Q24)</f>
        <v>0</v>
      </c>
      <c r="R23" s="45">
        <f>(Q23/O23)*100</f>
        <v>0</v>
      </c>
      <c r="S23" s="45">
        <f>(Q23/P23)*100</f>
        <v>0</v>
      </c>
    </row>
    <row r="24" spans="3:19" ht="37.5" customHeight="1">
      <c r="C24" s="178"/>
      <c r="D24" s="178"/>
      <c r="E24" s="178"/>
      <c r="F24" s="178"/>
      <c r="G24" s="178"/>
      <c r="H24" s="180"/>
      <c r="I24" s="153" t="s">
        <v>165</v>
      </c>
      <c r="J24" s="149">
        <v>935</v>
      </c>
      <c r="K24" s="150" t="s">
        <v>49</v>
      </c>
      <c r="L24" s="150" t="s">
        <v>50</v>
      </c>
      <c r="M24" s="154" t="s">
        <v>242</v>
      </c>
      <c r="N24" s="155">
        <v>244</v>
      </c>
      <c r="O24" s="43">
        <v>425.8</v>
      </c>
      <c r="P24" s="43">
        <f>P25</f>
        <v>8.4000000000000005E-2</v>
      </c>
      <c r="Q24" s="43">
        <f>Q25</f>
        <v>0</v>
      </c>
      <c r="R24" s="45">
        <f>(Q24/O24)*100</f>
        <v>0</v>
      </c>
      <c r="S24" s="45">
        <f>(Q24/P24)*100</f>
        <v>0</v>
      </c>
    </row>
    <row r="25" spans="3:19" ht="98.25" customHeight="1">
      <c r="C25" s="156" t="s">
        <v>44</v>
      </c>
      <c r="D25" s="156"/>
      <c r="E25" s="156" t="s">
        <v>48</v>
      </c>
      <c r="F25" s="156" t="s">
        <v>45</v>
      </c>
      <c r="G25" s="156"/>
      <c r="H25" s="152" t="s">
        <v>234</v>
      </c>
      <c r="I25" s="152" t="s">
        <v>93</v>
      </c>
      <c r="J25" s="44">
        <v>935</v>
      </c>
      <c r="K25" s="157" t="s">
        <v>49</v>
      </c>
      <c r="L25" s="158" t="s">
        <v>50</v>
      </c>
      <c r="M25" s="154" t="s">
        <v>242</v>
      </c>
      <c r="N25" s="49">
        <v>244</v>
      </c>
      <c r="O25" s="159">
        <v>425.8</v>
      </c>
      <c r="P25" s="135">
        <v>8.4000000000000005E-2</v>
      </c>
      <c r="Q25" s="135">
        <v>0</v>
      </c>
      <c r="R25" s="45">
        <f>(Q25/O25)*100</f>
        <v>0</v>
      </c>
      <c r="S25" s="45">
        <f>(Q25/P25)*100</f>
        <v>0</v>
      </c>
    </row>
    <row r="26" spans="3:19" ht="24" customHeight="1">
      <c r="C26" s="189" t="s">
        <v>44</v>
      </c>
      <c r="D26" s="189"/>
      <c r="E26" s="189" t="s">
        <v>49</v>
      </c>
      <c r="F26" s="189"/>
      <c r="G26" s="189"/>
      <c r="H26" s="187" t="s">
        <v>107</v>
      </c>
      <c r="I26" s="160" t="s">
        <v>18</v>
      </c>
      <c r="J26" s="149">
        <v>935</v>
      </c>
      <c r="K26" s="150" t="s">
        <v>49</v>
      </c>
      <c r="L26" s="150" t="s">
        <v>48</v>
      </c>
      <c r="M26" s="161"/>
      <c r="N26" s="149"/>
      <c r="O26" s="35">
        <f>SUM(O27:O28)</f>
        <v>918</v>
      </c>
      <c r="P26" s="35">
        <f>P27+P28+P29</f>
        <v>944.30000000000007</v>
      </c>
      <c r="Q26" s="35">
        <f>Q27+Q28+Q29</f>
        <v>107.834</v>
      </c>
      <c r="R26" s="35">
        <f>R27+R28+R29</f>
        <v>0</v>
      </c>
      <c r="S26" s="35">
        <f>S27+S28+S29</f>
        <v>99.994436201780417</v>
      </c>
    </row>
    <row r="27" spans="3:19" ht="23.25" customHeight="1">
      <c r="C27" s="189"/>
      <c r="D27" s="189"/>
      <c r="E27" s="189"/>
      <c r="F27" s="189"/>
      <c r="G27" s="189"/>
      <c r="H27" s="187"/>
      <c r="I27" s="187" t="s">
        <v>165</v>
      </c>
      <c r="J27" s="149">
        <v>935</v>
      </c>
      <c r="K27" s="150" t="s">
        <v>49</v>
      </c>
      <c r="L27" s="150" t="s">
        <v>48</v>
      </c>
      <c r="M27" s="161" t="s">
        <v>181</v>
      </c>
      <c r="N27" s="155">
        <v>244</v>
      </c>
      <c r="O27" s="35">
        <v>918</v>
      </c>
      <c r="P27" s="35">
        <v>548.16</v>
      </c>
      <c r="Q27" s="35">
        <f t="shared" ref="O27:Q28" si="2">Q30</f>
        <v>0</v>
      </c>
      <c r="R27" s="45">
        <f t="shared" si="1"/>
        <v>0</v>
      </c>
      <c r="S27" s="45">
        <f t="shared" si="0"/>
        <v>0</v>
      </c>
    </row>
    <row r="28" spans="3:19" ht="29.25" customHeight="1">
      <c r="C28" s="189"/>
      <c r="D28" s="189"/>
      <c r="E28" s="189"/>
      <c r="F28" s="189"/>
      <c r="G28" s="189"/>
      <c r="H28" s="187"/>
      <c r="I28" s="187"/>
      <c r="J28" s="149">
        <v>935</v>
      </c>
      <c r="K28" s="150" t="s">
        <v>49</v>
      </c>
      <c r="L28" s="150" t="s">
        <v>48</v>
      </c>
      <c r="M28" s="161" t="s">
        <v>182</v>
      </c>
      <c r="N28" s="155">
        <v>244</v>
      </c>
      <c r="O28" s="35">
        <f t="shared" si="2"/>
        <v>0</v>
      </c>
      <c r="P28" s="35">
        <v>288.3</v>
      </c>
      <c r="Q28" s="35">
        <f t="shared" si="2"/>
        <v>0</v>
      </c>
      <c r="R28" s="45">
        <v>0</v>
      </c>
      <c r="S28" s="45">
        <v>0</v>
      </c>
    </row>
    <row r="29" spans="3:19" ht="94.5" customHeight="1">
      <c r="C29" s="170" t="s">
        <v>44</v>
      </c>
      <c r="D29" s="170"/>
      <c r="E29" s="170" t="s">
        <v>49</v>
      </c>
      <c r="F29" s="170" t="s">
        <v>236</v>
      </c>
      <c r="G29" s="170"/>
      <c r="H29" s="190"/>
      <c r="I29" s="160" t="s">
        <v>165</v>
      </c>
      <c r="J29" s="149">
        <v>935</v>
      </c>
      <c r="K29" s="150" t="s">
        <v>49</v>
      </c>
      <c r="L29" s="150" t="s">
        <v>48</v>
      </c>
      <c r="M29" s="161" t="s">
        <v>235</v>
      </c>
      <c r="N29" s="155">
        <v>244</v>
      </c>
      <c r="O29" s="35">
        <v>0</v>
      </c>
      <c r="P29" s="35">
        <v>107.84</v>
      </c>
      <c r="Q29" s="35">
        <v>107.834</v>
      </c>
      <c r="R29" s="45">
        <v>0</v>
      </c>
      <c r="S29" s="45">
        <f>(Q29/P29)*100</f>
        <v>99.994436201780417</v>
      </c>
    </row>
    <row r="30" spans="3:19" ht="24" hidden="1" customHeight="1">
      <c r="C30" s="177" t="s">
        <v>44</v>
      </c>
      <c r="D30" s="177"/>
      <c r="E30" s="177" t="s">
        <v>49</v>
      </c>
      <c r="F30" s="177" t="s">
        <v>126</v>
      </c>
      <c r="G30" s="177"/>
      <c r="H30" s="179" t="s">
        <v>129</v>
      </c>
      <c r="I30" s="179" t="s">
        <v>165</v>
      </c>
      <c r="J30" s="44">
        <v>935</v>
      </c>
      <c r="K30" s="157" t="s">
        <v>49</v>
      </c>
      <c r="L30" s="158" t="s">
        <v>48</v>
      </c>
      <c r="M30" s="154" t="s">
        <v>181</v>
      </c>
      <c r="N30" s="49">
        <v>244</v>
      </c>
      <c r="O30" s="159"/>
      <c r="P30" s="135"/>
      <c r="Q30" s="135">
        <v>0</v>
      </c>
      <c r="R30" s="45" t="e">
        <f t="shared" si="1"/>
        <v>#DIV/0!</v>
      </c>
      <c r="S30" s="45" t="e">
        <f t="shared" si="0"/>
        <v>#DIV/0!</v>
      </c>
    </row>
    <row r="31" spans="3:19" ht="49.5" hidden="1" customHeight="1">
      <c r="C31" s="188"/>
      <c r="D31" s="188"/>
      <c r="E31" s="188"/>
      <c r="F31" s="188"/>
      <c r="G31" s="188"/>
      <c r="H31" s="186"/>
      <c r="I31" s="186"/>
      <c r="J31" s="44">
        <v>935</v>
      </c>
      <c r="K31" s="157" t="s">
        <v>49</v>
      </c>
      <c r="L31" s="158" t="s">
        <v>48</v>
      </c>
      <c r="M31" s="154" t="s">
        <v>182</v>
      </c>
      <c r="N31" s="49">
        <v>244</v>
      </c>
      <c r="O31" s="162">
        <v>0</v>
      </c>
      <c r="P31" s="135">
        <v>0</v>
      </c>
      <c r="Q31" s="45">
        <v>0</v>
      </c>
      <c r="R31" s="45">
        <v>0</v>
      </c>
      <c r="S31" s="45">
        <v>0</v>
      </c>
    </row>
  </sheetData>
  <mergeCells count="56">
    <mergeCell ref="H11:H17"/>
    <mergeCell ref="I16:I17"/>
    <mergeCell ref="I12:I15"/>
    <mergeCell ref="C2:S2"/>
    <mergeCell ref="C8:G9"/>
    <mergeCell ref="H8:H10"/>
    <mergeCell ref="I8:I10"/>
    <mergeCell ref="J8:N8"/>
    <mergeCell ref="R8:S8"/>
    <mergeCell ref="J9:J10"/>
    <mergeCell ref="K9:K10"/>
    <mergeCell ref="S9:S10"/>
    <mergeCell ref="O8:Q8"/>
    <mergeCell ref="M9:M10"/>
    <mergeCell ref="O9:O10"/>
    <mergeCell ref="P9:P10"/>
    <mergeCell ref="Q9:Q10"/>
    <mergeCell ref="R9:R10"/>
    <mergeCell ref="C4:R4"/>
    <mergeCell ref="C30:C31"/>
    <mergeCell ref="D30:D31"/>
    <mergeCell ref="E30:E31"/>
    <mergeCell ref="F30:F31"/>
    <mergeCell ref="C23:C24"/>
    <mergeCell ref="D23:D24"/>
    <mergeCell ref="E23:E24"/>
    <mergeCell ref="F23:F24"/>
    <mergeCell ref="C26:C28"/>
    <mergeCell ref="D26:D28"/>
    <mergeCell ref="E26:E28"/>
    <mergeCell ref="F26:F28"/>
    <mergeCell ref="I30:I31"/>
    <mergeCell ref="I21:I22"/>
    <mergeCell ref="I27:I28"/>
    <mergeCell ref="G30:G31"/>
    <mergeCell ref="H30:H31"/>
    <mergeCell ref="G26:G28"/>
    <mergeCell ref="G23:G24"/>
    <mergeCell ref="H23:H24"/>
    <mergeCell ref="H26:H29"/>
    <mergeCell ref="C6:P6"/>
    <mergeCell ref="E21:E22"/>
    <mergeCell ref="F21:F22"/>
    <mergeCell ref="G21:G22"/>
    <mergeCell ref="H21:H22"/>
    <mergeCell ref="C21:C22"/>
    <mergeCell ref="D21:D22"/>
    <mergeCell ref="H18:H20"/>
    <mergeCell ref="I19:I20"/>
    <mergeCell ref="C11:C17"/>
    <mergeCell ref="D11:D17"/>
    <mergeCell ref="E11:E17"/>
    <mergeCell ref="F11:F17"/>
    <mergeCell ref="N9:N10"/>
    <mergeCell ref="L9:L10"/>
    <mergeCell ref="G11:G17"/>
  </mergeCells>
  <phoneticPr fontId="21" type="noConversion"/>
  <pageMargins left="0.39370078740157483" right="0" top="0" bottom="0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S19"/>
  <sheetViews>
    <sheetView topLeftCell="A13" workbookViewId="0">
      <selection activeCell="K13" sqref="K13"/>
    </sheetView>
  </sheetViews>
  <sheetFormatPr defaultRowHeight="15"/>
  <cols>
    <col min="1" max="1" width="7" customWidth="1"/>
    <col min="2" max="2" width="8.5703125" customWidth="1"/>
    <col min="3" max="3" width="25.7109375" customWidth="1"/>
    <col min="4" max="4" width="20" customWidth="1"/>
    <col min="5" max="5" width="13.5703125" customWidth="1"/>
    <col min="6" max="6" width="13" customWidth="1"/>
    <col min="7" max="7" width="12" customWidth="1"/>
    <col min="8" max="8" width="4.7109375" customWidth="1"/>
    <col min="9" max="9" width="9.5703125" bestFit="1" customWidth="1"/>
    <col min="10" max="11" width="9.5703125" customWidth="1"/>
    <col min="12" max="12" width="12.5703125" bestFit="1" customWidth="1"/>
  </cols>
  <sheetData>
    <row r="1" spans="1:19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45.75" customHeight="1">
      <c r="A3" s="205" t="s">
        <v>256</v>
      </c>
      <c r="B3" s="205"/>
      <c r="C3" s="205"/>
      <c r="D3" s="205"/>
      <c r="E3" s="205"/>
      <c r="F3" s="205"/>
      <c r="G3" s="20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5.25" customHeight="1">
      <c r="A4" s="207" t="s">
        <v>215</v>
      </c>
      <c r="B4" s="207"/>
      <c r="C4" s="207"/>
      <c r="D4" s="207"/>
      <c r="E4" s="207"/>
      <c r="F4" s="207"/>
      <c r="G4" s="20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37.5" customHeight="1">
      <c r="A5" s="207" t="s">
        <v>204</v>
      </c>
      <c r="B5" s="207"/>
      <c r="C5" s="207"/>
      <c r="D5" s="207"/>
      <c r="E5" s="207"/>
      <c r="F5" s="207"/>
      <c r="G5" s="20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22.5" customHeight="1">
      <c r="A6" s="54"/>
      <c r="B6" s="54"/>
      <c r="C6" s="54"/>
      <c r="D6" s="54"/>
      <c r="E6" s="54"/>
      <c r="F6" s="54"/>
      <c r="G6" s="5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06" t="s">
        <v>0</v>
      </c>
      <c r="B7" s="206"/>
      <c r="C7" s="206" t="s">
        <v>12</v>
      </c>
      <c r="D7" s="206" t="s">
        <v>13</v>
      </c>
      <c r="E7" s="206" t="s">
        <v>14</v>
      </c>
      <c r="F7" s="206"/>
      <c r="G7" s="206" t="s">
        <v>15</v>
      </c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37.5" customHeight="1">
      <c r="A8" s="206"/>
      <c r="B8" s="206"/>
      <c r="C8" s="206"/>
      <c r="D8" s="206"/>
      <c r="E8" s="206" t="s">
        <v>16</v>
      </c>
      <c r="F8" s="206" t="s">
        <v>17</v>
      </c>
      <c r="G8" s="206"/>
      <c r="H8" s="6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>
      <c r="A9" s="1" t="s">
        <v>8</v>
      </c>
      <c r="B9" s="1" t="s">
        <v>9</v>
      </c>
      <c r="C9" s="206"/>
      <c r="D9" s="206"/>
      <c r="E9" s="206"/>
      <c r="F9" s="206"/>
      <c r="G9" s="206"/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>
      <c r="A10" s="202" t="s">
        <v>44</v>
      </c>
      <c r="B10" s="203"/>
      <c r="C10" s="204" t="s">
        <v>216</v>
      </c>
      <c r="D10" s="2" t="s">
        <v>18</v>
      </c>
      <c r="E10" s="70">
        <f>E11+E18</f>
        <v>1159.184</v>
      </c>
      <c r="F10" s="70">
        <f>F11+F18</f>
        <v>107.834</v>
      </c>
      <c r="G10" s="33">
        <f>(F10/E10)*100</f>
        <v>9.3025783654708825</v>
      </c>
      <c r="H10" s="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4">
      <c r="A11" s="202"/>
      <c r="B11" s="203"/>
      <c r="C11" s="204"/>
      <c r="D11" s="3" t="s">
        <v>19</v>
      </c>
      <c r="E11" s="70">
        <f>E13+E14</f>
        <v>1159.184</v>
      </c>
      <c r="F11" s="70">
        <v>107.834</v>
      </c>
      <c r="G11" s="33">
        <f>(F11/E11)*100</f>
        <v>9.3025783654708825</v>
      </c>
      <c r="H11" s="6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>
      <c r="A12" s="202"/>
      <c r="B12" s="203"/>
      <c r="C12" s="204"/>
      <c r="D12" s="4" t="s">
        <v>20</v>
      </c>
      <c r="E12" s="70"/>
      <c r="F12" s="70"/>
      <c r="G12" s="33"/>
      <c r="H12" s="6"/>
      <c r="I12" s="5"/>
      <c r="J12" s="5"/>
      <c r="K12" s="5"/>
      <c r="L12" s="21"/>
      <c r="M12" s="5"/>
      <c r="N12" s="5"/>
      <c r="O12" s="5"/>
      <c r="P12" s="5"/>
      <c r="Q12" s="5"/>
      <c r="R12" s="5"/>
      <c r="S12" s="5"/>
    </row>
    <row r="13" spans="1:19" ht="36">
      <c r="A13" s="202"/>
      <c r="B13" s="203"/>
      <c r="C13" s="204"/>
      <c r="D13" s="3" t="s">
        <v>21</v>
      </c>
      <c r="E13" s="70">
        <v>661.58399999999995</v>
      </c>
      <c r="F13" s="70">
        <v>107.834</v>
      </c>
      <c r="G13" s="33">
        <f>(F13/E13)*100</f>
        <v>16.299366369198772</v>
      </c>
      <c r="H13" s="6"/>
      <c r="I13" s="21"/>
      <c r="J13" s="21"/>
      <c r="K13" s="21"/>
      <c r="L13" s="17"/>
      <c r="M13" s="5"/>
      <c r="N13" s="5"/>
      <c r="O13" s="5"/>
      <c r="P13" s="5"/>
      <c r="Q13" s="5"/>
      <c r="R13" s="5"/>
      <c r="S13" s="5"/>
    </row>
    <row r="14" spans="1:19" ht="24">
      <c r="A14" s="202"/>
      <c r="B14" s="203"/>
      <c r="C14" s="204"/>
      <c r="D14" s="3" t="s">
        <v>22</v>
      </c>
      <c r="E14" s="70">
        <v>497.6</v>
      </c>
      <c r="F14" s="70">
        <v>0</v>
      </c>
      <c r="G14" s="33">
        <f>(F14/E14)*100</f>
        <v>0</v>
      </c>
      <c r="H14" s="6"/>
      <c r="I14" s="5"/>
      <c r="J14" s="5"/>
      <c r="K14" s="5"/>
      <c r="L14" s="21"/>
      <c r="M14" s="5"/>
      <c r="N14" s="5"/>
      <c r="O14" s="5"/>
      <c r="P14" s="5"/>
      <c r="Q14" s="5"/>
      <c r="R14" s="5"/>
      <c r="S14" s="5"/>
    </row>
    <row r="15" spans="1:19" ht="24">
      <c r="A15" s="202"/>
      <c r="B15" s="203"/>
      <c r="C15" s="204"/>
      <c r="D15" s="3" t="s">
        <v>23</v>
      </c>
      <c r="E15" s="70">
        <v>0</v>
      </c>
      <c r="F15" s="70">
        <v>0</v>
      </c>
      <c r="G15" s="33">
        <v>0</v>
      </c>
      <c r="H15" s="6"/>
      <c r="I15" s="5"/>
      <c r="J15" s="5"/>
      <c r="K15" s="5"/>
      <c r="L15" s="21"/>
      <c r="M15" s="5"/>
      <c r="N15" s="5"/>
      <c r="O15" s="5"/>
      <c r="P15" s="5"/>
      <c r="Q15" s="5"/>
      <c r="R15" s="5"/>
      <c r="S15" s="5"/>
    </row>
    <row r="16" spans="1:19" ht="60">
      <c r="A16" s="202"/>
      <c r="B16" s="203"/>
      <c r="C16" s="204"/>
      <c r="D16" s="3" t="s">
        <v>24</v>
      </c>
      <c r="E16" s="70">
        <v>0</v>
      </c>
      <c r="F16" s="70">
        <v>0</v>
      </c>
      <c r="G16" s="33">
        <v>0</v>
      </c>
      <c r="H16" s="6"/>
      <c r="I16" s="5"/>
      <c r="J16" s="5"/>
      <c r="K16" s="5"/>
      <c r="L16" s="21"/>
      <c r="M16" s="5"/>
      <c r="N16" s="5"/>
      <c r="O16" s="5"/>
      <c r="P16" s="5"/>
      <c r="Q16" s="5"/>
      <c r="R16" s="5"/>
      <c r="S16" s="5"/>
    </row>
    <row r="17" spans="1:19" ht="48">
      <c r="A17" s="202"/>
      <c r="B17" s="203"/>
      <c r="C17" s="204"/>
      <c r="D17" s="3" t="s">
        <v>25</v>
      </c>
      <c r="E17" s="70">
        <v>0</v>
      </c>
      <c r="F17" s="70">
        <v>0</v>
      </c>
      <c r="G17" s="33">
        <v>0</v>
      </c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>
      <c r="A18" s="202"/>
      <c r="B18" s="203"/>
      <c r="C18" s="204"/>
      <c r="D18" s="3" t="s">
        <v>124</v>
      </c>
      <c r="E18" s="70">
        <v>0</v>
      </c>
      <c r="F18" s="70">
        <v>0</v>
      </c>
      <c r="G18" s="33">
        <v>0</v>
      </c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30.75" customHeight="1">
      <c r="A19" s="201" t="s">
        <v>132</v>
      </c>
      <c r="B19" s="201"/>
      <c r="C19" s="201"/>
      <c r="D19" s="201"/>
      <c r="E19" s="201"/>
      <c r="F19" s="201"/>
      <c r="G19" s="201"/>
    </row>
  </sheetData>
  <mergeCells count="14">
    <mergeCell ref="A19:G19"/>
    <mergeCell ref="A10:A18"/>
    <mergeCell ref="B10:B18"/>
    <mergeCell ref="C10:C18"/>
    <mergeCell ref="A3:G3"/>
    <mergeCell ref="A7:B8"/>
    <mergeCell ref="C7:C9"/>
    <mergeCell ref="D7:D9"/>
    <mergeCell ref="E7:F7"/>
    <mergeCell ref="G7:G9"/>
    <mergeCell ref="E8:E9"/>
    <mergeCell ref="F8:F9"/>
    <mergeCell ref="A4:G4"/>
    <mergeCell ref="A5:G5"/>
  </mergeCells>
  <phoneticPr fontId="0" type="noConversion"/>
  <hyperlinks>
    <hyperlink ref="A3" r:id="rId1" display="consultantplus://offline/ref=81C534AC1618B38338B7138DDEB14344F59B417381706259B468524054C32ECBB30FCA5546109B5D4A4FB16DK3O"/>
  </hyperlinks>
  <printOptions horizontalCentered="1"/>
  <pageMargins left="0.78740157480314965" right="0" top="0" bottom="0" header="0" footer="0"/>
  <pageSetup paperSize="9" scale="10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2"/>
  <sheetViews>
    <sheetView workbookViewId="0">
      <selection activeCell="B30" sqref="B30"/>
    </sheetView>
  </sheetViews>
  <sheetFormatPr defaultRowHeight="15"/>
  <cols>
    <col min="3" max="3" width="17" customWidth="1"/>
    <col min="4" max="4" width="21.85546875" customWidth="1"/>
    <col min="5" max="5" width="22.28515625" customWidth="1"/>
    <col min="7" max="7" width="15.28515625" customWidth="1"/>
    <col min="8" max="8" width="12.140625" customWidth="1"/>
    <col min="9" max="9" width="12.42578125" customWidth="1"/>
    <col min="10" max="10" width="12.28515625" customWidth="1"/>
    <col min="11" max="11" width="14" hidden="1" customWidth="1"/>
  </cols>
  <sheetData>
    <row r="1" spans="1:12" ht="44.25" customHeight="1">
      <c r="A1" s="209" t="s">
        <v>35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8"/>
    </row>
    <row r="2" spans="1:12" ht="54" customHeight="1">
      <c r="A2" s="208" t="s">
        <v>168</v>
      </c>
      <c r="B2" s="208"/>
      <c r="C2" s="208"/>
      <c r="D2" s="208"/>
      <c r="E2" s="208"/>
      <c r="F2" s="208"/>
      <c r="G2" s="208"/>
      <c r="H2" s="208"/>
      <c r="I2" s="208"/>
    </row>
  </sheetData>
  <mergeCells count="2">
    <mergeCell ref="A2:I2"/>
    <mergeCell ref="A1:K1"/>
  </mergeCells>
  <phoneticPr fontId="0" type="noConversion"/>
  <hyperlinks>
    <hyperlink ref="A1" r:id="rId1" display="consultantplus://offline/ref=81C534AC1618B38338B7138DDEB14344F59B417381706259B468524054C32ECBB30FCA5546109B5D4A4FB36DK0O"/>
  </hyperlinks>
  <pageMargins left="1.299212598425197" right="0.70866141732283472" top="0.74803149606299213" bottom="0.74803149606299213" header="0.31496062992125984" footer="0.31496062992125984"/>
  <pageSetup paperSize="9" scale="8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Q44"/>
  <sheetViews>
    <sheetView view="pageBreakPreview" topLeftCell="A14" zoomScale="65" zoomScaleNormal="85" zoomScaleSheetLayoutView="65" workbookViewId="0">
      <selection activeCell="G17" sqref="G17"/>
    </sheetView>
  </sheetViews>
  <sheetFormatPr defaultRowHeight="15"/>
  <cols>
    <col min="1" max="1" width="4.28515625" style="131" customWidth="1"/>
    <col min="2" max="4" width="4.28515625" style="76" customWidth="1"/>
    <col min="5" max="5" width="31.42578125" style="76" customWidth="1"/>
    <col min="6" max="6" width="27.140625" style="76" customWidth="1"/>
    <col min="7" max="7" width="19.42578125" style="132" customWidth="1"/>
    <col min="8" max="8" width="11.28515625" style="76" customWidth="1"/>
    <col min="9" max="9" width="30.140625" style="76" customWidth="1"/>
    <col min="10" max="10" width="46.7109375" style="76" customWidth="1"/>
    <col min="11" max="11" width="16.85546875" style="76" customWidth="1"/>
    <col min="12" max="12" width="9.140625" style="76"/>
    <col min="13" max="14" width="8.85546875" style="76" customWidth="1"/>
    <col min="15" max="16384" width="9.140625" style="76"/>
  </cols>
  <sheetData>
    <row r="1" spans="1:17">
      <c r="A1" s="121"/>
      <c r="B1" s="72"/>
      <c r="C1" s="72"/>
      <c r="D1" s="72"/>
      <c r="E1" s="72"/>
      <c r="F1" s="72"/>
      <c r="G1" s="122"/>
      <c r="H1" s="72"/>
      <c r="I1" s="72"/>
      <c r="J1" s="72"/>
      <c r="K1" s="72"/>
    </row>
    <row r="2" spans="1:17" ht="39" customHeight="1">
      <c r="A2" s="216" t="s">
        <v>26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72"/>
      <c r="M2" s="72"/>
      <c r="N2" s="72"/>
      <c r="O2" s="72"/>
      <c r="P2" s="72"/>
      <c r="Q2" s="72"/>
    </row>
    <row r="3" spans="1:17" ht="39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72"/>
      <c r="M3" s="72"/>
      <c r="N3" s="72"/>
      <c r="O3" s="72"/>
      <c r="P3" s="72"/>
      <c r="Q3" s="72"/>
    </row>
    <row r="4" spans="1:17" ht="39" customHeight="1">
      <c r="A4" s="217" t="s">
        <v>215</v>
      </c>
      <c r="B4" s="217"/>
      <c r="C4" s="217"/>
      <c r="D4" s="217"/>
      <c r="E4" s="217"/>
      <c r="F4" s="217"/>
      <c r="G4" s="217"/>
      <c r="H4" s="217"/>
      <c r="I4" s="217"/>
      <c r="J4" s="217"/>
      <c r="K4" s="123"/>
      <c r="L4" s="72"/>
      <c r="M4" s="72"/>
      <c r="N4" s="72"/>
      <c r="O4" s="72"/>
      <c r="P4" s="72"/>
      <c r="Q4" s="72"/>
    </row>
    <row r="5" spans="1:17" ht="39" customHeight="1">
      <c r="A5" s="217" t="s">
        <v>204</v>
      </c>
      <c r="B5" s="217"/>
      <c r="C5" s="217"/>
      <c r="D5" s="217"/>
      <c r="E5" s="217"/>
      <c r="F5" s="217"/>
      <c r="G5" s="217"/>
      <c r="H5" s="217"/>
      <c r="I5" s="217"/>
      <c r="J5" s="123"/>
      <c r="K5" s="123"/>
      <c r="L5" s="72"/>
      <c r="M5" s="72"/>
      <c r="N5" s="72"/>
      <c r="O5" s="72"/>
      <c r="P5" s="72"/>
      <c r="Q5" s="72"/>
    </row>
    <row r="6" spans="1:17" ht="15.75">
      <c r="A6" s="124"/>
      <c r="B6" s="125"/>
      <c r="C6" s="126"/>
      <c r="D6" s="126"/>
      <c r="E6" s="126"/>
      <c r="F6" s="126"/>
      <c r="G6" s="127"/>
      <c r="H6" s="126"/>
      <c r="I6" s="126"/>
      <c r="J6" s="126"/>
      <c r="K6" s="126"/>
      <c r="L6" s="72"/>
      <c r="M6" s="72"/>
      <c r="N6" s="72"/>
      <c r="O6" s="72"/>
      <c r="P6" s="72"/>
      <c r="Q6" s="72"/>
    </row>
    <row r="7" spans="1:17" ht="42" customHeight="1">
      <c r="A7" s="210" t="s">
        <v>27</v>
      </c>
      <c r="B7" s="210"/>
      <c r="C7" s="210"/>
      <c r="D7" s="210"/>
      <c r="E7" s="210" t="s">
        <v>28</v>
      </c>
      <c r="F7" s="210" t="s">
        <v>29</v>
      </c>
      <c r="G7" s="210" t="s">
        <v>30</v>
      </c>
      <c r="H7" s="210" t="s">
        <v>31</v>
      </c>
      <c r="I7" s="210" t="s">
        <v>32</v>
      </c>
      <c r="J7" s="210" t="s">
        <v>33</v>
      </c>
      <c r="K7" s="210" t="s">
        <v>34</v>
      </c>
      <c r="L7" s="72"/>
      <c r="M7" s="72"/>
      <c r="N7" s="72"/>
      <c r="O7" s="72"/>
      <c r="P7" s="72"/>
      <c r="Q7" s="72"/>
    </row>
    <row r="8" spans="1:17" ht="30.75" customHeight="1">
      <c r="A8" s="77" t="s">
        <v>8</v>
      </c>
      <c r="B8" s="77" t="s">
        <v>9</v>
      </c>
      <c r="C8" s="77" t="s">
        <v>10</v>
      </c>
      <c r="D8" s="77" t="s">
        <v>11</v>
      </c>
      <c r="E8" s="210"/>
      <c r="F8" s="210"/>
      <c r="G8" s="210"/>
      <c r="H8" s="210"/>
      <c r="I8" s="210"/>
      <c r="J8" s="210"/>
      <c r="K8" s="210"/>
      <c r="L8" s="72"/>
      <c r="M8" s="72"/>
      <c r="N8" s="72"/>
      <c r="O8" s="72"/>
      <c r="P8" s="72"/>
      <c r="Q8" s="72"/>
    </row>
    <row r="9" spans="1:17">
      <c r="A9" s="96" t="s">
        <v>44</v>
      </c>
      <c r="B9" s="96"/>
      <c r="C9" s="96" t="s">
        <v>45</v>
      </c>
      <c r="D9" s="96"/>
      <c r="E9" s="68" t="s">
        <v>46</v>
      </c>
      <c r="F9" s="68"/>
      <c r="G9" s="62"/>
      <c r="H9" s="68"/>
      <c r="I9" s="68"/>
      <c r="J9" s="68"/>
      <c r="K9" s="68"/>
      <c r="L9" s="72"/>
      <c r="M9" s="72"/>
      <c r="N9" s="72"/>
      <c r="O9" s="72"/>
      <c r="P9" s="72"/>
      <c r="Q9" s="72"/>
    </row>
    <row r="10" spans="1:17" ht="120.75" customHeight="1">
      <c r="A10" s="171" t="s">
        <v>44</v>
      </c>
      <c r="B10" s="171"/>
      <c r="C10" s="171" t="s">
        <v>45</v>
      </c>
      <c r="D10" s="171">
        <v>1</v>
      </c>
      <c r="E10" s="46" t="s">
        <v>141</v>
      </c>
      <c r="F10" s="46" t="s">
        <v>93</v>
      </c>
      <c r="G10" s="173" t="s">
        <v>237</v>
      </c>
      <c r="H10" s="173" t="s">
        <v>238</v>
      </c>
      <c r="I10" s="46" t="s">
        <v>94</v>
      </c>
      <c r="J10" s="128" t="s">
        <v>225</v>
      </c>
      <c r="K10" s="97" t="s">
        <v>123</v>
      </c>
      <c r="L10" s="72"/>
      <c r="M10" s="72"/>
      <c r="N10" s="72"/>
      <c r="O10" s="72"/>
      <c r="P10" s="72"/>
      <c r="Q10" s="72"/>
    </row>
    <row r="11" spans="1:17" ht="123" customHeight="1">
      <c r="A11" s="171" t="s">
        <v>44</v>
      </c>
      <c r="B11" s="171"/>
      <c r="C11" s="171" t="s">
        <v>45</v>
      </c>
      <c r="D11" s="171">
        <v>2</v>
      </c>
      <c r="E11" s="46" t="s">
        <v>95</v>
      </c>
      <c r="F11" s="46" t="s">
        <v>93</v>
      </c>
      <c r="G11" s="173" t="s">
        <v>237</v>
      </c>
      <c r="H11" s="173" t="s">
        <v>238</v>
      </c>
      <c r="I11" s="46" t="s">
        <v>96</v>
      </c>
      <c r="J11" s="128" t="s">
        <v>239</v>
      </c>
      <c r="K11" s="97" t="s">
        <v>123</v>
      </c>
      <c r="L11" s="72"/>
      <c r="M11" s="72"/>
      <c r="N11" s="72"/>
      <c r="O11" s="72"/>
      <c r="P11" s="72"/>
      <c r="Q11" s="72"/>
    </row>
    <row r="12" spans="1:17" ht="130.5" customHeight="1">
      <c r="A12" s="171" t="s">
        <v>44</v>
      </c>
      <c r="B12" s="171"/>
      <c r="C12" s="171" t="s">
        <v>45</v>
      </c>
      <c r="D12" s="171">
        <v>3</v>
      </c>
      <c r="E12" s="46" t="s">
        <v>97</v>
      </c>
      <c r="F12" s="46" t="s">
        <v>93</v>
      </c>
      <c r="G12" s="173" t="s">
        <v>237</v>
      </c>
      <c r="H12" s="173" t="s">
        <v>238</v>
      </c>
      <c r="I12" s="46" t="s">
        <v>98</v>
      </c>
      <c r="J12" s="97" t="s">
        <v>228</v>
      </c>
      <c r="K12" s="97" t="s">
        <v>120</v>
      </c>
      <c r="L12" s="72"/>
      <c r="M12" s="72"/>
      <c r="N12" s="72"/>
      <c r="O12" s="72"/>
      <c r="P12" s="72"/>
      <c r="Q12" s="72"/>
    </row>
    <row r="13" spans="1:17" ht="137.25" customHeight="1">
      <c r="A13" s="171" t="s">
        <v>44</v>
      </c>
      <c r="B13" s="171"/>
      <c r="C13" s="171" t="s">
        <v>45</v>
      </c>
      <c r="D13" s="171">
        <v>4</v>
      </c>
      <c r="E13" s="46" t="s">
        <v>99</v>
      </c>
      <c r="F13" s="46" t="s">
        <v>93</v>
      </c>
      <c r="G13" s="173" t="s">
        <v>237</v>
      </c>
      <c r="H13" s="173" t="s">
        <v>238</v>
      </c>
      <c r="I13" s="46" t="s">
        <v>100</v>
      </c>
      <c r="J13" s="251" t="s">
        <v>191</v>
      </c>
      <c r="K13" s="46" t="s">
        <v>190</v>
      </c>
      <c r="L13" s="72"/>
      <c r="M13" s="72"/>
      <c r="N13" s="72"/>
      <c r="O13" s="72"/>
      <c r="P13" s="72"/>
      <c r="Q13" s="72"/>
    </row>
    <row r="14" spans="1:17" ht="137.25" customHeight="1">
      <c r="A14" s="171" t="s">
        <v>44</v>
      </c>
      <c r="B14" s="171"/>
      <c r="C14" s="171" t="s">
        <v>45</v>
      </c>
      <c r="D14" s="171" t="s">
        <v>241</v>
      </c>
      <c r="E14" s="252" t="s">
        <v>240</v>
      </c>
      <c r="F14" s="46" t="s">
        <v>93</v>
      </c>
      <c r="G14" s="173" t="s">
        <v>237</v>
      </c>
      <c r="H14" s="173" t="s">
        <v>238</v>
      </c>
      <c r="I14" s="172" t="s">
        <v>178</v>
      </c>
      <c r="J14" s="251" t="s">
        <v>247</v>
      </c>
      <c r="K14" s="46" t="s">
        <v>192</v>
      </c>
      <c r="L14" s="72"/>
      <c r="M14" s="72"/>
      <c r="N14" s="72"/>
      <c r="O14" s="72"/>
      <c r="P14" s="72"/>
      <c r="Q14" s="72"/>
    </row>
    <row r="15" spans="1:17" ht="123" customHeight="1">
      <c r="A15" s="171"/>
      <c r="B15" s="171"/>
      <c r="C15" s="171" t="s">
        <v>45</v>
      </c>
      <c r="D15" s="171" t="s">
        <v>179</v>
      </c>
      <c r="E15" s="172" t="s">
        <v>177</v>
      </c>
      <c r="F15" s="172" t="s">
        <v>93</v>
      </c>
      <c r="G15" s="173" t="s">
        <v>237</v>
      </c>
      <c r="H15" s="173" t="s">
        <v>238</v>
      </c>
      <c r="I15" s="172" t="s">
        <v>178</v>
      </c>
      <c r="J15" s="251" t="s">
        <v>246</v>
      </c>
      <c r="K15" s="46" t="s">
        <v>192</v>
      </c>
      <c r="L15" s="72"/>
      <c r="M15" s="72"/>
      <c r="N15" s="72"/>
      <c r="O15" s="72"/>
      <c r="P15" s="72"/>
      <c r="Q15" s="72"/>
    </row>
    <row r="16" spans="1:17" ht="225.75" customHeight="1">
      <c r="A16" s="171" t="s">
        <v>44</v>
      </c>
      <c r="B16" s="171"/>
      <c r="C16" s="171" t="s">
        <v>45</v>
      </c>
      <c r="D16" s="171">
        <v>7</v>
      </c>
      <c r="E16" s="46" t="s">
        <v>125</v>
      </c>
      <c r="F16" s="46" t="s">
        <v>101</v>
      </c>
      <c r="G16" s="173" t="s">
        <v>227</v>
      </c>
      <c r="H16" s="173" t="s">
        <v>226</v>
      </c>
      <c r="I16" s="46" t="s">
        <v>143</v>
      </c>
      <c r="J16" s="46" t="s">
        <v>248</v>
      </c>
      <c r="K16" s="46" t="s">
        <v>224</v>
      </c>
      <c r="L16" s="72"/>
      <c r="M16" s="72"/>
      <c r="N16" s="72"/>
      <c r="O16" s="72"/>
      <c r="P16" s="72"/>
      <c r="Q16" s="72"/>
    </row>
    <row r="17" spans="1:17" ht="63.75" customHeight="1">
      <c r="A17" s="171" t="s">
        <v>44</v>
      </c>
      <c r="B17" s="171"/>
      <c r="C17" s="171" t="s">
        <v>50</v>
      </c>
      <c r="D17" s="171"/>
      <c r="E17" s="172" t="s">
        <v>121</v>
      </c>
      <c r="F17" s="172"/>
      <c r="G17" s="173"/>
      <c r="H17" s="173"/>
      <c r="I17" s="172"/>
      <c r="J17" s="172"/>
      <c r="K17" s="172"/>
      <c r="L17" s="72"/>
      <c r="M17" s="72"/>
      <c r="N17" s="72"/>
      <c r="O17" s="72"/>
      <c r="P17" s="72"/>
      <c r="Q17" s="72"/>
    </row>
    <row r="18" spans="1:17" ht="92.25" customHeight="1">
      <c r="A18" s="171" t="s">
        <v>44</v>
      </c>
      <c r="B18" s="171"/>
      <c r="C18" s="171" t="s">
        <v>50</v>
      </c>
      <c r="D18" s="173">
        <v>2</v>
      </c>
      <c r="E18" s="172" t="s">
        <v>172</v>
      </c>
      <c r="F18" s="172" t="s">
        <v>173</v>
      </c>
      <c r="G18" s="173" t="s">
        <v>249</v>
      </c>
      <c r="H18" s="173" t="s">
        <v>238</v>
      </c>
      <c r="I18" s="172" t="s">
        <v>174</v>
      </c>
      <c r="J18" s="211" t="s">
        <v>250</v>
      </c>
      <c r="K18" s="214" t="s">
        <v>201</v>
      </c>
      <c r="L18" s="72"/>
      <c r="M18" s="72"/>
      <c r="N18" s="72"/>
      <c r="O18" s="72"/>
      <c r="P18" s="72"/>
      <c r="Q18" s="72"/>
    </row>
    <row r="19" spans="1:17" ht="102.75" customHeight="1">
      <c r="A19" s="171" t="s">
        <v>44</v>
      </c>
      <c r="B19" s="171"/>
      <c r="C19" s="98" t="s">
        <v>50</v>
      </c>
      <c r="D19" s="173">
        <v>3</v>
      </c>
      <c r="E19" s="172" t="s">
        <v>175</v>
      </c>
      <c r="F19" s="172" t="s">
        <v>173</v>
      </c>
      <c r="G19" s="173" t="s">
        <v>249</v>
      </c>
      <c r="H19" s="173" t="s">
        <v>238</v>
      </c>
      <c r="I19" s="172" t="s">
        <v>176</v>
      </c>
      <c r="J19" s="212"/>
      <c r="K19" s="215"/>
      <c r="L19" s="72"/>
      <c r="M19" s="72"/>
      <c r="N19" s="72"/>
      <c r="O19" s="72"/>
      <c r="P19" s="72"/>
      <c r="Q19" s="72"/>
    </row>
    <row r="20" spans="1:17" ht="114.75" customHeight="1">
      <c r="A20" s="171" t="s">
        <v>44</v>
      </c>
      <c r="B20" s="171"/>
      <c r="C20" s="171" t="s">
        <v>50</v>
      </c>
      <c r="D20" s="171">
        <v>4</v>
      </c>
      <c r="E20" s="172" t="s">
        <v>102</v>
      </c>
      <c r="F20" s="172" t="s">
        <v>118</v>
      </c>
      <c r="G20" s="173" t="s">
        <v>249</v>
      </c>
      <c r="H20" s="173" t="s">
        <v>238</v>
      </c>
      <c r="I20" s="172" t="s">
        <v>103</v>
      </c>
      <c r="J20" s="212"/>
      <c r="K20" s="215"/>
      <c r="L20" s="72"/>
      <c r="M20" s="72"/>
      <c r="N20" s="72"/>
      <c r="O20" s="72"/>
      <c r="P20" s="72"/>
      <c r="Q20" s="72"/>
    </row>
    <row r="21" spans="1:17" ht="114.75" customHeight="1">
      <c r="A21" s="171" t="s">
        <v>44</v>
      </c>
      <c r="B21" s="171"/>
      <c r="C21" s="171" t="s">
        <v>50</v>
      </c>
      <c r="D21" s="48">
        <v>11</v>
      </c>
      <c r="E21" s="46" t="s">
        <v>196</v>
      </c>
      <c r="F21" s="47" t="s">
        <v>173</v>
      </c>
      <c r="G21" s="173" t="s">
        <v>249</v>
      </c>
      <c r="H21" s="173" t="s">
        <v>238</v>
      </c>
      <c r="I21" s="47" t="s">
        <v>197</v>
      </c>
      <c r="J21" s="212"/>
      <c r="K21" s="215"/>
      <c r="L21" s="72"/>
      <c r="M21" s="72"/>
      <c r="N21" s="72"/>
      <c r="O21" s="72"/>
      <c r="P21" s="72"/>
      <c r="Q21" s="72"/>
    </row>
    <row r="22" spans="1:17" ht="96.75" customHeight="1">
      <c r="A22" s="171" t="s">
        <v>44</v>
      </c>
      <c r="B22" s="171"/>
      <c r="C22" s="171" t="s">
        <v>50</v>
      </c>
      <c r="D22" s="171" t="s">
        <v>51</v>
      </c>
      <c r="E22" s="172" t="s">
        <v>133</v>
      </c>
      <c r="F22" s="172" t="s">
        <v>119</v>
      </c>
      <c r="G22" s="173" t="s">
        <v>249</v>
      </c>
      <c r="H22" s="173" t="s">
        <v>238</v>
      </c>
      <c r="I22" s="172" t="s">
        <v>134</v>
      </c>
      <c r="J22" s="212"/>
      <c r="K22" s="215"/>
      <c r="L22" s="72"/>
      <c r="N22" s="72"/>
    </row>
    <row r="23" spans="1:17" ht="138" customHeight="1">
      <c r="A23" s="171" t="s">
        <v>44</v>
      </c>
      <c r="B23" s="171"/>
      <c r="C23" s="171" t="s">
        <v>50</v>
      </c>
      <c r="D23" s="171" t="s">
        <v>195</v>
      </c>
      <c r="E23" s="172" t="s">
        <v>198</v>
      </c>
      <c r="F23" s="172" t="s">
        <v>119</v>
      </c>
      <c r="G23" s="173" t="s">
        <v>249</v>
      </c>
      <c r="H23" s="173" t="s">
        <v>238</v>
      </c>
      <c r="I23" s="172" t="s">
        <v>199</v>
      </c>
      <c r="J23" s="213"/>
      <c r="K23" s="215"/>
      <c r="N23" s="72"/>
    </row>
    <row r="24" spans="1:17" ht="138" customHeight="1">
      <c r="A24" s="96" t="s">
        <v>44</v>
      </c>
      <c r="B24" s="96"/>
      <c r="C24" s="96" t="s">
        <v>48</v>
      </c>
      <c r="D24" s="96"/>
      <c r="E24" s="68" t="s">
        <v>104</v>
      </c>
      <c r="F24" s="68"/>
      <c r="G24" s="62"/>
      <c r="H24" s="62"/>
      <c r="I24" s="68"/>
      <c r="J24" s="129"/>
      <c r="K24" s="130"/>
      <c r="N24" s="72"/>
    </row>
    <row r="25" spans="1:17" ht="87" customHeight="1">
      <c r="A25" s="96" t="s">
        <v>44</v>
      </c>
      <c r="B25" s="96"/>
      <c r="C25" s="96" t="s">
        <v>48</v>
      </c>
      <c r="D25" s="69">
        <v>9</v>
      </c>
      <c r="E25" s="46" t="s">
        <v>209</v>
      </c>
      <c r="F25" s="68" t="s">
        <v>93</v>
      </c>
      <c r="G25" s="143" t="s">
        <v>249</v>
      </c>
      <c r="H25" s="143" t="s">
        <v>238</v>
      </c>
      <c r="I25" s="46" t="s">
        <v>210</v>
      </c>
      <c r="J25" s="142" t="s">
        <v>194</v>
      </c>
      <c r="K25" s="99" t="s">
        <v>163</v>
      </c>
      <c r="N25" s="72"/>
    </row>
    <row r="26" spans="1:17" ht="63.75">
      <c r="A26" s="96" t="s">
        <v>44</v>
      </c>
      <c r="B26" s="96"/>
      <c r="C26" s="96" t="s">
        <v>105</v>
      </c>
      <c r="D26" s="96"/>
      <c r="E26" s="68" t="s">
        <v>106</v>
      </c>
      <c r="F26" s="68"/>
      <c r="G26" s="62"/>
      <c r="H26" s="68"/>
      <c r="I26" s="68"/>
      <c r="J26" s="68"/>
      <c r="K26" s="62"/>
    </row>
    <row r="27" spans="1:17" ht="128.25" customHeight="1">
      <c r="A27" s="96" t="s">
        <v>44</v>
      </c>
      <c r="B27" s="96"/>
      <c r="C27" s="100" t="s">
        <v>105</v>
      </c>
      <c r="D27" s="100" t="s">
        <v>127</v>
      </c>
      <c r="E27" s="68" t="s">
        <v>207</v>
      </c>
      <c r="F27" s="68" t="s">
        <v>135</v>
      </c>
      <c r="G27" s="143" t="s">
        <v>249</v>
      </c>
      <c r="H27" s="143" t="s">
        <v>238</v>
      </c>
      <c r="I27" s="68" t="s">
        <v>193</v>
      </c>
      <c r="J27" s="142" t="s">
        <v>251</v>
      </c>
      <c r="K27" s="101" t="s">
        <v>163</v>
      </c>
    </row>
    <row r="28" spans="1:17" ht="76.5">
      <c r="A28" s="96" t="s">
        <v>44</v>
      </c>
      <c r="B28" s="96"/>
      <c r="C28" s="96" t="s">
        <v>49</v>
      </c>
      <c r="D28" s="96"/>
      <c r="E28" s="68" t="s">
        <v>107</v>
      </c>
      <c r="F28" s="68"/>
      <c r="G28" s="62"/>
      <c r="H28" s="68"/>
      <c r="I28" s="68"/>
      <c r="J28" s="68"/>
      <c r="K28" s="68"/>
    </row>
    <row r="29" spans="1:17" ht="24.75" customHeight="1">
      <c r="A29" s="218" t="s">
        <v>44</v>
      </c>
      <c r="B29" s="218"/>
      <c r="C29" s="218" t="s">
        <v>49</v>
      </c>
      <c r="D29" s="218" t="s">
        <v>126</v>
      </c>
      <c r="E29" s="219" t="s">
        <v>128</v>
      </c>
      <c r="F29" s="219" t="s">
        <v>93</v>
      </c>
      <c r="G29" s="143"/>
      <c r="H29" s="143"/>
      <c r="I29" s="219" t="s">
        <v>108</v>
      </c>
      <c r="J29" s="214" t="s">
        <v>254</v>
      </c>
      <c r="K29" s="214" t="s">
        <v>201</v>
      </c>
    </row>
    <row r="30" spans="1:17" ht="280.5" customHeight="1">
      <c r="A30" s="218"/>
      <c r="B30" s="218"/>
      <c r="C30" s="218"/>
      <c r="D30" s="218"/>
      <c r="E30" s="219"/>
      <c r="F30" s="219"/>
      <c r="G30" s="143" t="s">
        <v>249</v>
      </c>
      <c r="H30" s="143" t="s">
        <v>238</v>
      </c>
      <c r="I30" s="219"/>
      <c r="J30" s="214"/>
      <c r="K30" s="214"/>
    </row>
    <row r="31" spans="1:17" ht="165.75">
      <c r="A31" s="96" t="s">
        <v>44</v>
      </c>
      <c r="B31" s="96"/>
      <c r="C31" s="96" t="s">
        <v>109</v>
      </c>
      <c r="D31" s="96"/>
      <c r="E31" s="142" t="s">
        <v>252</v>
      </c>
      <c r="F31" s="68"/>
      <c r="G31" s="62"/>
      <c r="H31" s="68"/>
      <c r="I31" s="68"/>
      <c r="J31" s="68"/>
      <c r="K31" s="68"/>
    </row>
    <row r="32" spans="1:17" ht="54" customHeight="1">
      <c r="A32" s="96" t="s">
        <v>44</v>
      </c>
      <c r="B32" s="96"/>
      <c r="C32" s="96" t="s">
        <v>109</v>
      </c>
      <c r="D32" s="96">
        <v>1</v>
      </c>
      <c r="E32" s="68" t="s">
        <v>110</v>
      </c>
      <c r="F32" s="68" t="s">
        <v>142</v>
      </c>
      <c r="G32" s="143" t="s">
        <v>253</v>
      </c>
      <c r="H32" s="173" t="s">
        <v>238</v>
      </c>
      <c r="I32" s="219" t="s">
        <v>200</v>
      </c>
      <c r="J32" s="219" t="s">
        <v>257</v>
      </c>
      <c r="K32" s="214"/>
    </row>
    <row r="33" spans="1:11" ht="25.5" customHeight="1">
      <c r="A33" s="218" t="s">
        <v>44</v>
      </c>
      <c r="B33" s="218"/>
      <c r="C33" s="218" t="s">
        <v>109</v>
      </c>
      <c r="D33" s="218">
        <v>2</v>
      </c>
      <c r="E33" s="219" t="s">
        <v>111</v>
      </c>
      <c r="F33" s="219" t="s">
        <v>117</v>
      </c>
      <c r="G33" s="143" t="s">
        <v>253</v>
      </c>
      <c r="H33" s="173" t="s">
        <v>238</v>
      </c>
      <c r="I33" s="219"/>
      <c r="J33" s="219"/>
      <c r="K33" s="214"/>
    </row>
    <row r="34" spans="1:11" ht="41.25" customHeight="1">
      <c r="A34" s="218"/>
      <c r="B34" s="218"/>
      <c r="C34" s="218"/>
      <c r="D34" s="218"/>
      <c r="E34" s="219"/>
      <c r="F34" s="219"/>
      <c r="G34" s="143" t="s">
        <v>253</v>
      </c>
      <c r="H34" s="173" t="s">
        <v>238</v>
      </c>
      <c r="I34" s="219"/>
      <c r="J34" s="219"/>
      <c r="K34" s="214"/>
    </row>
    <row r="35" spans="1:11" ht="31.5" customHeight="1">
      <c r="A35" s="218" t="s">
        <v>44</v>
      </c>
      <c r="B35" s="218"/>
      <c r="C35" s="218" t="s">
        <v>109</v>
      </c>
      <c r="D35" s="218">
        <v>3</v>
      </c>
      <c r="E35" s="219" t="s">
        <v>112</v>
      </c>
      <c r="F35" s="219" t="s">
        <v>117</v>
      </c>
      <c r="G35" s="143" t="s">
        <v>253</v>
      </c>
      <c r="H35" s="173" t="s">
        <v>238</v>
      </c>
      <c r="I35" s="219"/>
      <c r="J35" s="219"/>
      <c r="K35" s="214"/>
    </row>
    <row r="36" spans="1:11" ht="36" customHeight="1">
      <c r="A36" s="218"/>
      <c r="B36" s="218"/>
      <c r="C36" s="218"/>
      <c r="D36" s="218"/>
      <c r="E36" s="219"/>
      <c r="F36" s="219"/>
      <c r="G36" s="143" t="s">
        <v>253</v>
      </c>
      <c r="H36" s="173" t="s">
        <v>238</v>
      </c>
      <c r="I36" s="219"/>
      <c r="J36" s="219"/>
      <c r="K36" s="214"/>
    </row>
    <row r="37" spans="1:11" ht="37.5" customHeight="1">
      <c r="A37" s="218" t="s">
        <v>44</v>
      </c>
      <c r="B37" s="218"/>
      <c r="C37" s="218" t="s">
        <v>109</v>
      </c>
      <c r="D37" s="218">
        <v>4</v>
      </c>
      <c r="E37" s="219" t="s">
        <v>113</v>
      </c>
      <c r="F37" s="219" t="s">
        <v>117</v>
      </c>
      <c r="G37" s="143" t="s">
        <v>253</v>
      </c>
      <c r="H37" s="173" t="s">
        <v>238</v>
      </c>
      <c r="I37" s="219"/>
      <c r="J37" s="219"/>
      <c r="K37" s="214"/>
    </row>
    <row r="38" spans="1:11" ht="39" customHeight="1">
      <c r="A38" s="218"/>
      <c r="B38" s="218"/>
      <c r="C38" s="218"/>
      <c r="D38" s="218"/>
      <c r="E38" s="219"/>
      <c r="F38" s="219"/>
      <c r="G38" s="143" t="s">
        <v>253</v>
      </c>
      <c r="H38" s="173" t="s">
        <v>238</v>
      </c>
      <c r="I38" s="219"/>
      <c r="J38" s="219"/>
      <c r="K38" s="214"/>
    </row>
    <row r="39" spans="1:11" ht="31.5" customHeight="1">
      <c r="A39" s="218" t="s">
        <v>44</v>
      </c>
      <c r="B39" s="218"/>
      <c r="C39" s="218" t="s">
        <v>109</v>
      </c>
      <c r="D39" s="218">
        <v>5</v>
      </c>
      <c r="E39" s="219" t="s">
        <v>114</v>
      </c>
      <c r="F39" s="219" t="s">
        <v>117</v>
      </c>
      <c r="G39" s="143" t="s">
        <v>253</v>
      </c>
      <c r="H39" s="173" t="s">
        <v>238</v>
      </c>
      <c r="I39" s="219"/>
      <c r="J39" s="219"/>
      <c r="K39" s="214"/>
    </row>
    <row r="40" spans="1:11" ht="38.25" customHeight="1">
      <c r="A40" s="218"/>
      <c r="B40" s="218"/>
      <c r="C40" s="218"/>
      <c r="D40" s="218"/>
      <c r="E40" s="219"/>
      <c r="F40" s="219"/>
      <c r="G40" s="143" t="s">
        <v>253</v>
      </c>
      <c r="H40" s="173" t="s">
        <v>238</v>
      </c>
      <c r="I40" s="219"/>
      <c r="J40" s="219"/>
      <c r="K40" s="214"/>
    </row>
    <row r="41" spans="1:11" ht="27.75" customHeight="1">
      <c r="A41" s="218" t="s">
        <v>44</v>
      </c>
      <c r="B41" s="218"/>
      <c r="C41" s="218" t="s">
        <v>109</v>
      </c>
      <c r="D41" s="218">
        <v>6</v>
      </c>
      <c r="E41" s="219" t="s">
        <v>115</v>
      </c>
      <c r="F41" s="219" t="s">
        <v>117</v>
      </c>
      <c r="G41" s="143" t="s">
        <v>253</v>
      </c>
      <c r="H41" s="173" t="s">
        <v>238</v>
      </c>
      <c r="I41" s="219"/>
      <c r="J41" s="219"/>
      <c r="K41" s="214"/>
    </row>
    <row r="42" spans="1:11" ht="36.75" customHeight="1">
      <c r="A42" s="218"/>
      <c r="B42" s="218"/>
      <c r="C42" s="218"/>
      <c r="D42" s="218"/>
      <c r="E42" s="219"/>
      <c r="F42" s="219"/>
      <c r="G42" s="143" t="s">
        <v>253</v>
      </c>
      <c r="H42" s="173" t="s">
        <v>238</v>
      </c>
      <c r="I42" s="219"/>
      <c r="J42" s="219"/>
      <c r="K42" s="214"/>
    </row>
    <row r="43" spans="1:11" ht="32.25" customHeight="1">
      <c r="A43" s="218" t="s">
        <v>44</v>
      </c>
      <c r="B43" s="218"/>
      <c r="C43" s="218" t="s">
        <v>109</v>
      </c>
      <c r="D43" s="218">
        <v>7</v>
      </c>
      <c r="E43" s="219" t="s">
        <v>116</v>
      </c>
      <c r="F43" s="219" t="s">
        <v>117</v>
      </c>
      <c r="G43" s="143" t="s">
        <v>253</v>
      </c>
      <c r="H43" s="173" t="s">
        <v>238</v>
      </c>
      <c r="I43" s="219"/>
      <c r="J43" s="219"/>
      <c r="K43" s="214"/>
    </row>
    <row r="44" spans="1:11" ht="48.75" customHeight="1">
      <c r="A44" s="218"/>
      <c r="B44" s="218"/>
      <c r="C44" s="218"/>
      <c r="D44" s="218"/>
      <c r="E44" s="219"/>
      <c r="F44" s="219"/>
      <c r="G44" s="143" t="s">
        <v>253</v>
      </c>
      <c r="H44" s="173" t="s">
        <v>238</v>
      </c>
      <c r="I44" s="219"/>
      <c r="J44" s="219"/>
      <c r="K44" s="214"/>
    </row>
  </sheetData>
  <mergeCells count="61">
    <mergeCell ref="A41:A42"/>
    <mergeCell ref="F43:F44"/>
    <mergeCell ref="C41:C42"/>
    <mergeCell ref="B41:B42"/>
    <mergeCell ref="A43:A44"/>
    <mergeCell ref="B43:B44"/>
    <mergeCell ref="C43:C44"/>
    <mergeCell ref="D43:D44"/>
    <mergeCell ref="E43:E44"/>
    <mergeCell ref="D41:D42"/>
    <mergeCell ref="B37:B38"/>
    <mergeCell ref="A37:A38"/>
    <mergeCell ref="E37:E38"/>
    <mergeCell ref="A39:A40"/>
    <mergeCell ref="B39:B40"/>
    <mergeCell ref="C39:C40"/>
    <mergeCell ref="D39:D40"/>
    <mergeCell ref="E39:E40"/>
    <mergeCell ref="C37:C38"/>
    <mergeCell ref="D37:D38"/>
    <mergeCell ref="A33:A34"/>
    <mergeCell ref="B33:B34"/>
    <mergeCell ref="C33:C34"/>
    <mergeCell ref="D33:D34"/>
    <mergeCell ref="A35:A36"/>
    <mergeCell ref="B35:B36"/>
    <mergeCell ref="C35:C36"/>
    <mergeCell ref="D35:D36"/>
    <mergeCell ref="K32:K44"/>
    <mergeCell ref="I32:I44"/>
    <mergeCell ref="F37:F38"/>
    <mergeCell ref="E35:E36"/>
    <mergeCell ref="F35:F36"/>
    <mergeCell ref="E33:E34"/>
    <mergeCell ref="F33:F34"/>
    <mergeCell ref="E41:E42"/>
    <mergeCell ref="F41:F42"/>
    <mergeCell ref="F29:F30"/>
    <mergeCell ref="J32:J44"/>
    <mergeCell ref="I29:I30"/>
    <mergeCell ref="C29:C30"/>
    <mergeCell ref="D29:D30"/>
    <mergeCell ref="E29:E30"/>
    <mergeCell ref="J29:J30"/>
    <mergeCell ref="F39:F40"/>
    <mergeCell ref="K7:K8"/>
    <mergeCell ref="J18:J23"/>
    <mergeCell ref="K18:K23"/>
    <mergeCell ref="K29:K30"/>
    <mergeCell ref="A2:K2"/>
    <mergeCell ref="A7:D7"/>
    <mergeCell ref="E7:E8"/>
    <mergeCell ref="F7:F8"/>
    <mergeCell ref="G7:G8"/>
    <mergeCell ref="H7:H8"/>
    <mergeCell ref="I7:I8"/>
    <mergeCell ref="J7:J8"/>
    <mergeCell ref="A4:J4"/>
    <mergeCell ref="A5:I5"/>
    <mergeCell ref="A29:A30"/>
    <mergeCell ref="B29:B30"/>
  </mergeCells>
  <phoneticPr fontId="21" type="noConversion"/>
  <hyperlinks>
    <hyperlink ref="A2" r:id="rId1" display="consultantplus://offline/ref=81C534AC1618B38338B7138DDEB14344F59B417381706259B468524054C32ECBB30FCA5546109B5D4A4FB16DK7O"/>
  </hyperlinks>
  <printOptions horizontalCentered="1"/>
  <pageMargins left="0.19685039370078741" right="0.19685039370078741" top="0.39370078740157483" bottom="0.39370078740157483" header="0" footer="0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2:F7"/>
  <sheetViews>
    <sheetView topLeftCell="A4" workbookViewId="0">
      <selection activeCell="F18" sqref="F18"/>
    </sheetView>
  </sheetViews>
  <sheetFormatPr defaultRowHeight="15"/>
  <cols>
    <col min="1" max="1" width="7.42578125" customWidth="1"/>
    <col min="3" max="3" width="21.85546875" customWidth="1"/>
    <col min="4" max="4" width="14.5703125" customWidth="1"/>
    <col min="6" max="6" width="36.7109375" customWidth="1"/>
  </cols>
  <sheetData>
    <row r="2" spans="2:6" ht="48" customHeight="1">
      <c r="B2" s="220" t="s">
        <v>211</v>
      </c>
      <c r="C2" s="220"/>
      <c r="D2" s="220"/>
      <c r="E2" s="220"/>
      <c r="F2" s="220"/>
    </row>
    <row r="3" spans="2:6" ht="35.25" customHeight="1">
      <c r="B3" s="221" t="s">
        <v>215</v>
      </c>
      <c r="C3" s="221"/>
      <c r="D3" s="221"/>
      <c r="E3" s="221"/>
      <c r="F3" s="221"/>
    </row>
    <row r="4" spans="2:6" ht="24.75" customHeight="1">
      <c r="B4" s="221" t="s">
        <v>204</v>
      </c>
      <c r="C4" s="221"/>
      <c r="D4" s="221"/>
      <c r="E4" s="221"/>
      <c r="F4" s="221"/>
    </row>
    <row r="5" spans="2:6" ht="27" customHeight="1">
      <c r="B5" s="52"/>
      <c r="C5" s="52"/>
      <c r="D5" s="52"/>
      <c r="E5" s="52"/>
      <c r="F5" s="52"/>
    </row>
    <row r="6" spans="2:6">
      <c r="B6" s="9" t="s">
        <v>37</v>
      </c>
      <c r="C6" s="9" t="s">
        <v>144</v>
      </c>
      <c r="D6" s="9" t="s">
        <v>145</v>
      </c>
      <c r="E6" s="9" t="s">
        <v>146</v>
      </c>
      <c r="F6" s="9" t="s">
        <v>147</v>
      </c>
    </row>
    <row r="7" spans="2:6" ht="94.5" customHeight="1">
      <c r="B7" s="10">
        <v>1</v>
      </c>
      <c r="C7" s="9" t="s">
        <v>148</v>
      </c>
      <c r="D7" s="10" t="s">
        <v>255</v>
      </c>
      <c r="E7" s="10">
        <v>1859</v>
      </c>
      <c r="F7" s="11" t="s">
        <v>180</v>
      </c>
    </row>
  </sheetData>
  <mergeCells count="3">
    <mergeCell ref="B2:F2"/>
    <mergeCell ref="B3:F3"/>
    <mergeCell ref="B4:F4"/>
  </mergeCells>
  <phoneticPr fontId="21" type="noConversion"/>
  <hyperlinks>
    <hyperlink ref="B2" r:id="rId1" display="consultantplus://offline/ref=81C534AC1618B38338B7138DDEB14344F59B417381706259B468524054C32ECBB30FCA5546109B5D4A4FBD6DK2O"/>
  </hyperlinks>
  <pageMargins left="0.74803149606299213" right="0.74803149606299213" top="0.98425196850393704" bottom="0.98425196850393704" header="0.51181102362204722" footer="0.51181102362204722"/>
  <pageSetup paperSize="9" scale="85" orientation="portrait" verticalDpi="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B2:K12"/>
  <sheetViews>
    <sheetView topLeftCell="A4" workbookViewId="0">
      <selection activeCell="D16" sqref="D16"/>
    </sheetView>
  </sheetViews>
  <sheetFormatPr defaultRowHeight="15"/>
  <cols>
    <col min="1" max="1" width="3.85546875" customWidth="1"/>
    <col min="2" max="2" width="7.5703125" customWidth="1"/>
    <col min="3" max="3" width="7.42578125" customWidth="1"/>
    <col min="4" max="4" width="14.7109375" customWidth="1"/>
    <col min="5" max="5" width="14.140625" customWidth="1"/>
    <col min="6" max="6" width="13.42578125" customWidth="1"/>
    <col min="7" max="7" width="14.7109375" customWidth="1"/>
    <col min="8" max="8" width="13" customWidth="1"/>
    <col min="9" max="9" width="12.5703125" customWidth="1"/>
    <col min="10" max="10" width="14.85546875" customWidth="1"/>
    <col min="11" max="11" width="22.28515625" customWidth="1"/>
  </cols>
  <sheetData>
    <row r="2" spans="2:11" ht="15.75">
      <c r="B2" s="222" t="s">
        <v>149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2:11" ht="15.75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2:11" ht="15.75">
      <c r="B4" s="224" t="s">
        <v>215</v>
      </c>
      <c r="C4" s="224"/>
      <c r="D4" s="224"/>
      <c r="E4" s="224"/>
      <c r="F4" s="224"/>
      <c r="G4" s="224"/>
      <c r="H4" s="224"/>
      <c r="I4" s="224"/>
      <c r="J4" s="224"/>
      <c r="K4" s="224"/>
    </row>
    <row r="5" spans="2:11" ht="15.75"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2:11" ht="15.75">
      <c r="B6" s="225" t="s">
        <v>204</v>
      </c>
      <c r="C6" s="226"/>
      <c r="D6" s="226"/>
      <c r="E6" s="226"/>
      <c r="F6" s="226"/>
      <c r="G6" s="226"/>
      <c r="H6" s="226"/>
      <c r="I6" s="226"/>
      <c r="J6" s="226"/>
      <c r="K6" s="226"/>
    </row>
    <row r="7" spans="2:11" ht="15.75">
      <c r="B7" s="18"/>
      <c r="C7" s="5"/>
      <c r="D7" s="5"/>
      <c r="E7" s="5"/>
      <c r="F7" s="5"/>
      <c r="G7" s="5"/>
      <c r="H7" s="5"/>
      <c r="I7" s="5"/>
      <c r="J7" s="5"/>
      <c r="K7" s="5"/>
    </row>
    <row r="8" spans="2:11" ht="84">
      <c r="B8" s="223" t="s">
        <v>27</v>
      </c>
      <c r="C8" s="223"/>
      <c r="D8" s="206" t="s">
        <v>150</v>
      </c>
      <c r="E8" s="206" t="s">
        <v>151</v>
      </c>
      <c r="F8" s="206" t="s">
        <v>152</v>
      </c>
      <c r="G8" s="16" t="s">
        <v>153</v>
      </c>
      <c r="H8" s="16" t="s">
        <v>154</v>
      </c>
      <c r="I8" s="16" t="s">
        <v>155</v>
      </c>
      <c r="J8" s="16" t="s">
        <v>156</v>
      </c>
      <c r="K8" s="16" t="s">
        <v>157</v>
      </c>
    </row>
    <row r="9" spans="2:11">
      <c r="B9" s="16" t="s">
        <v>8</v>
      </c>
      <c r="C9" s="16" t="s">
        <v>9</v>
      </c>
      <c r="D9" s="206"/>
      <c r="E9" s="206"/>
      <c r="F9" s="206"/>
      <c r="G9" s="19"/>
      <c r="H9" s="19"/>
      <c r="I9" s="19"/>
      <c r="J9" s="19"/>
      <c r="K9" s="19"/>
    </row>
    <row r="10" spans="2:11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</row>
    <row r="11" spans="2:11" ht="108">
      <c r="B11" s="36" t="s">
        <v>44</v>
      </c>
      <c r="C11" s="37"/>
      <c r="D11" s="20" t="s">
        <v>219</v>
      </c>
      <c r="E11" s="20" t="s">
        <v>205</v>
      </c>
      <c r="F11" s="38" t="s">
        <v>158</v>
      </c>
      <c r="G11" s="63">
        <v>10.182</v>
      </c>
      <c r="H11" s="63">
        <v>0.99199999999999999</v>
      </c>
      <c r="I11" s="63">
        <v>0.95454545454545459</v>
      </c>
      <c r="J11" s="63">
        <v>9.2999999999999999E-2</v>
      </c>
      <c r="K11" s="63">
        <v>10.263999999999999</v>
      </c>
    </row>
    <row r="12" spans="2:11">
      <c r="B12" s="39"/>
      <c r="C12" s="40"/>
      <c r="D12" s="41"/>
      <c r="E12" s="41"/>
      <c r="F12" s="42"/>
      <c r="G12" s="67"/>
      <c r="H12" s="67"/>
      <c r="I12" s="67"/>
      <c r="J12" s="67"/>
      <c r="K12" s="67"/>
    </row>
  </sheetData>
  <mergeCells count="7">
    <mergeCell ref="B2:K2"/>
    <mergeCell ref="B8:C8"/>
    <mergeCell ref="D8:D9"/>
    <mergeCell ref="E8:E9"/>
    <mergeCell ref="F8:F9"/>
    <mergeCell ref="B4:K4"/>
    <mergeCell ref="B6:K6"/>
  </mergeCells>
  <phoneticPr fontId="21" type="noConversion"/>
  <pageMargins left="0.35433070866141736" right="0.35433070866141736" top="0.98425196850393704" bottom="0.98425196850393704" header="0.51181102362204722" footer="0.51181102362204722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Q9"/>
  <sheetViews>
    <sheetView workbookViewId="0">
      <selection activeCell="O4" sqref="O4:Q4"/>
    </sheetView>
  </sheetViews>
  <sheetFormatPr defaultRowHeight="15"/>
  <cols>
    <col min="1" max="5" width="3.28515625" customWidth="1"/>
    <col min="6" max="6" width="31.85546875" customWidth="1"/>
    <col min="7" max="7" width="13.42578125" customWidth="1"/>
    <col min="8" max="8" width="5.42578125" customWidth="1"/>
    <col min="9" max="10" width="4" customWidth="1"/>
    <col min="11" max="11" width="6.42578125" customWidth="1"/>
    <col min="12" max="12" width="4.5703125" customWidth="1"/>
    <col min="13" max="13" width="9" customWidth="1"/>
    <col min="15" max="15" width="14.28515625" customWidth="1"/>
    <col min="16" max="17" width="9.5703125" customWidth="1"/>
  </cols>
  <sheetData>
    <row r="1" spans="1:17" ht="35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O1" s="228" t="s">
        <v>136</v>
      </c>
      <c r="P1" s="228"/>
      <c r="Q1" s="228"/>
    </row>
    <row r="2" spans="1:17" ht="94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O2" s="229" t="s">
        <v>202</v>
      </c>
      <c r="P2" s="229"/>
      <c r="Q2" s="229"/>
    </row>
    <row r="3" spans="1:17" ht="28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O3" s="230" t="s">
        <v>185</v>
      </c>
      <c r="P3" s="230"/>
      <c r="Q3" s="230"/>
    </row>
    <row r="4" spans="1:17" ht="18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O4" s="231" t="s">
        <v>245</v>
      </c>
      <c r="P4" s="231"/>
      <c r="Q4" s="231"/>
    </row>
    <row r="5" spans="1:17" ht="18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O5" s="105"/>
      <c r="P5" s="105"/>
      <c r="Q5" s="105"/>
    </row>
    <row r="6" spans="1:17" ht="14.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3"/>
      <c r="Q6" s="13"/>
    </row>
    <row r="7" spans="1:17" ht="59.25" customHeight="1">
      <c r="A7" s="232" t="s">
        <v>217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8" spans="1:17" ht="17.45" customHeight="1">
      <c r="A8" s="227" t="s">
        <v>244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</row>
    <row r="9" spans="1:17" ht="13.9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</sheetData>
  <mergeCells count="6">
    <mergeCell ref="A8:Q8"/>
    <mergeCell ref="O1:Q1"/>
    <mergeCell ref="O2:Q2"/>
    <mergeCell ref="O3:Q3"/>
    <mergeCell ref="O4:Q4"/>
    <mergeCell ref="A7:Q7"/>
  </mergeCells>
  <phoneticPr fontId="0" type="noConversion"/>
  <pageMargins left="0" right="0.11811023622047245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Q51"/>
  <sheetViews>
    <sheetView topLeftCell="A33" workbookViewId="0">
      <selection activeCell="K33" sqref="K33"/>
    </sheetView>
  </sheetViews>
  <sheetFormatPr defaultRowHeight="15"/>
  <cols>
    <col min="1" max="1" width="4.140625" style="76" customWidth="1"/>
    <col min="2" max="2" width="7.140625" style="76" customWidth="1"/>
    <col min="3" max="3" width="4.28515625" style="76" customWidth="1"/>
    <col min="4" max="4" width="46.5703125" style="89" customWidth="1"/>
    <col min="5" max="5" width="12.140625" style="90" customWidth="1"/>
    <col min="6" max="6" width="8.7109375" style="76" customWidth="1"/>
    <col min="7" max="7" width="8.85546875" style="76" customWidth="1"/>
    <col min="8" max="8" width="9.140625" style="76" customWidth="1"/>
    <col min="9" max="9" width="11.85546875" style="76" customWidth="1"/>
    <col min="10" max="10" width="9.7109375" style="76" customWidth="1"/>
    <col min="11" max="11" width="50.140625" style="76" customWidth="1"/>
    <col min="12" max="12" width="44.42578125" style="76" customWidth="1"/>
    <col min="13" max="13" width="6.42578125" style="91" customWidth="1"/>
    <col min="14" max="14" width="6.140625" style="91" customWidth="1"/>
    <col min="15" max="15" width="14" style="76" customWidth="1"/>
    <col min="16" max="16" width="14.28515625" style="76" customWidth="1"/>
    <col min="17" max="17" width="11.42578125" style="76" customWidth="1"/>
    <col min="18" max="18" width="15.5703125" style="76" customWidth="1"/>
    <col min="19" max="16384" width="9.140625" style="76"/>
  </cols>
  <sheetData>
    <row r="1" spans="1:15" hidden="1">
      <c r="A1" s="72"/>
      <c r="B1" s="72"/>
      <c r="C1" s="72"/>
      <c r="D1" s="73"/>
      <c r="E1" s="74"/>
      <c r="F1" s="72"/>
      <c r="G1" s="72"/>
      <c r="H1" s="72"/>
      <c r="I1" s="72"/>
      <c r="J1" s="72"/>
      <c r="K1" s="72"/>
      <c r="L1" s="72"/>
      <c r="M1" s="75"/>
      <c r="N1" s="75"/>
    </row>
    <row r="2" spans="1:15" ht="47.25" customHeight="1">
      <c r="A2" s="56" t="s">
        <v>36</v>
      </c>
      <c r="B2" s="72"/>
      <c r="C2" s="72"/>
      <c r="D2" s="73"/>
      <c r="E2" s="74"/>
      <c r="F2" s="72"/>
      <c r="G2" s="72"/>
      <c r="H2" s="72"/>
      <c r="I2" s="72"/>
      <c r="J2" s="72"/>
      <c r="K2" s="72"/>
      <c r="L2" s="72"/>
      <c r="M2" s="75"/>
      <c r="N2" s="75"/>
    </row>
    <row r="3" spans="1:15" ht="23.25" customHeight="1">
      <c r="A3" s="245" t="s">
        <v>0</v>
      </c>
      <c r="B3" s="245"/>
      <c r="C3" s="245" t="s">
        <v>37</v>
      </c>
      <c r="D3" s="233" t="s">
        <v>38</v>
      </c>
      <c r="E3" s="233" t="s">
        <v>39</v>
      </c>
      <c r="F3" s="245" t="s">
        <v>40</v>
      </c>
      <c r="G3" s="245"/>
      <c r="H3" s="245"/>
      <c r="I3" s="245" t="s">
        <v>130</v>
      </c>
      <c r="J3" s="245" t="s">
        <v>41</v>
      </c>
      <c r="K3" s="245" t="s">
        <v>42</v>
      </c>
      <c r="L3" s="102"/>
      <c r="M3" s="78"/>
      <c r="N3" s="78"/>
    </row>
    <row r="4" spans="1:15" ht="46.5" customHeight="1">
      <c r="A4" s="245"/>
      <c r="B4" s="245"/>
      <c r="C4" s="245"/>
      <c r="D4" s="234"/>
      <c r="E4" s="234"/>
      <c r="F4" s="245" t="s">
        <v>137</v>
      </c>
      <c r="G4" s="245" t="s">
        <v>43</v>
      </c>
      <c r="H4" s="245" t="s">
        <v>122</v>
      </c>
      <c r="I4" s="245"/>
      <c r="J4" s="245"/>
      <c r="K4" s="245"/>
      <c r="L4" s="102"/>
      <c r="M4" s="78"/>
      <c r="N4" s="78"/>
    </row>
    <row r="5" spans="1:15" ht="22.5" customHeight="1">
      <c r="A5" s="79" t="s">
        <v>8</v>
      </c>
      <c r="B5" s="79" t="s">
        <v>9</v>
      </c>
      <c r="C5" s="245"/>
      <c r="D5" s="235"/>
      <c r="E5" s="235"/>
      <c r="F5" s="245"/>
      <c r="G5" s="245"/>
      <c r="H5" s="245"/>
      <c r="I5" s="245"/>
      <c r="J5" s="245"/>
      <c r="K5" s="245"/>
      <c r="L5" s="102"/>
      <c r="M5" s="78"/>
      <c r="N5" s="78"/>
    </row>
    <row r="6" spans="1:15" ht="14.25" customHeight="1">
      <c r="A6" s="79">
        <v>1</v>
      </c>
      <c r="B6" s="79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102"/>
      <c r="M6" s="78"/>
      <c r="N6" s="78"/>
    </row>
    <row r="7" spans="1:15" ht="15.75">
      <c r="A7" s="248" t="s">
        <v>44</v>
      </c>
      <c r="B7" s="237"/>
      <c r="C7" s="239" t="s">
        <v>216</v>
      </c>
      <c r="D7" s="240"/>
      <c r="E7" s="240"/>
      <c r="F7" s="240"/>
      <c r="G7" s="240"/>
      <c r="H7" s="240"/>
      <c r="I7" s="240"/>
      <c r="J7" s="240"/>
      <c r="K7" s="241"/>
      <c r="L7" s="109"/>
      <c r="M7" s="64">
        <f>SUM(M9:M42)/C42</f>
        <v>0.88028144989610302</v>
      </c>
      <c r="N7" s="110"/>
    </row>
    <row r="8" spans="1:15">
      <c r="A8" s="248"/>
      <c r="B8" s="237"/>
      <c r="C8" s="242" t="s">
        <v>84</v>
      </c>
      <c r="D8" s="243"/>
      <c r="E8" s="243"/>
      <c r="F8" s="243"/>
      <c r="G8" s="243"/>
      <c r="H8" s="243"/>
      <c r="I8" s="243"/>
      <c r="J8" s="243"/>
      <c r="K8" s="244"/>
      <c r="L8" s="103"/>
      <c r="M8" s="64"/>
      <c r="N8" s="64"/>
    </row>
    <row r="9" spans="1:15" ht="96" customHeight="1">
      <c r="A9" s="248"/>
      <c r="B9" s="237"/>
      <c r="C9" s="49">
        <v>1</v>
      </c>
      <c r="D9" s="61" t="s">
        <v>52</v>
      </c>
      <c r="E9" s="49" t="s">
        <v>85</v>
      </c>
      <c r="F9" s="50">
        <f>'[1]Новое приложение 1'!$V$16</f>
        <v>98.983423977494482</v>
      </c>
      <c r="G9" s="119">
        <f>F9*1.001</f>
        <v>99.082407401471968</v>
      </c>
      <c r="H9" s="50">
        <f>'[2]Новое приложение 1'!$V$16</f>
        <v>98.983423977494482</v>
      </c>
      <c r="I9" s="58">
        <f>H9/G9</f>
        <v>0.99900099900099903</v>
      </c>
      <c r="J9" s="59">
        <f>H9/F9</f>
        <v>1</v>
      </c>
      <c r="K9" s="60" t="s">
        <v>166</v>
      </c>
      <c r="L9" s="115"/>
      <c r="M9" s="65">
        <f>IF(I9&gt;1,1,I9)</f>
        <v>0.99900099900099903</v>
      </c>
      <c r="N9" s="65">
        <f>I9</f>
        <v>0.99900099900099903</v>
      </c>
      <c r="O9" s="80"/>
    </row>
    <row r="10" spans="1:15" ht="62.25" customHeight="1">
      <c r="A10" s="248"/>
      <c r="B10" s="237"/>
      <c r="C10" s="49">
        <v>2</v>
      </c>
      <c r="D10" s="61" t="s">
        <v>53</v>
      </c>
      <c r="E10" s="81" t="s">
        <v>85</v>
      </c>
      <c r="F10" s="50">
        <f>'[1]Новое приложение 1'!$V$19</f>
        <v>78.199996607439331</v>
      </c>
      <c r="G10" s="133">
        <f>F10*1.0005</f>
        <v>78.239096605743043</v>
      </c>
      <c r="H10" s="50">
        <f>'[2]Новое приложение 1'!$V$19</f>
        <v>56.614982276214043</v>
      </c>
      <c r="I10" s="58">
        <f>H10/G10</f>
        <v>0.72361497936900121</v>
      </c>
      <c r="J10" s="59">
        <f>H10/F10</f>
        <v>0.72397678685868561</v>
      </c>
      <c r="K10" s="60" t="s">
        <v>262</v>
      </c>
      <c r="L10" s="115"/>
      <c r="M10" s="65">
        <f>IF(I10&gt;1,1,I10)</f>
        <v>0.72361497936900121</v>
      </c>
      <c r="N10" s="65">
        <v>1</v>
      </c>
    </row>
    <row r="11" spans="1:15" ht="60" customHeight="1">
      <c r="A11" s="248"/>
      <c r="B11" s="237"/>
      <c r="C11" s="49">
        <v>3</v>
      </c>
      <c r="D11" s="61" t="s">
        <v>54</v>
      </c>
      <c r="E11" s="81" t="s">
        <v>85</v>
      </c>
      <c r="F11" s="50">
        <f>'[1]Новое приложение 1'!$V$22</f>
        <v>78.300230657632014</v>
      </c>
      <c r="G11" s="133">
        <f>F11*1.0005</f>
        <v>78.339380772960823</v>
      </c>
      <c r="H11" s="50">
        <f>'[2]Новое приложение 1'!$V$22</f>
        <v>76.786770403235224</v>
      </c>
      <c r="I11" s="58">
        <f>H11/G11</f>
        <v>0.98018097214445321</v>
      </c>
      <c r="J11" s="59">
        <f>H11/F11</f>
        <v>0.98067106263052528</v>
      </c>
      <c r="K11" s="60" t="s">
        <v>166</v>
      </c>
      <c r="L11" s="115"/>
      <c r="M11" s="65">
        <f>IF(I11&gt;1,1,I11)</f>
        <v>0.98018097214445321</v>
      </c>
      <c r="N11" s="65">
        <v>1</v>
      </c>
    </row>
    <row r="12" spans="1:15" ht="78" customHeight="1">
      <c r="A12" s="248"/>
      <c r="B12" s="237"/>
      <c r="C12" s="49">
        <v>4</v>
      </c>
      <c r="D12" s="61" t="s">
        <v>55</v>
      </c>
      <c r="E12" s="81" t="s">
        <v>85</v>
      </c>
      <c r="F12" s="50">
        <f>'[1]Новое приложение 1'!$V$25</f>
        <v>67.868777591697167</v>
      </c>
      <c r="G12" s="119">
        <f>F12*1.005</f>
        <v>68.208121479655645</v>
      </c>
      <c r="H12" s="50">
        <f>'[2]Новое приложение 1'!$V$25</f>
        <v>11.469541368083558</v>
      </c>
      <c r="I12" s="58">
        <f>H12/G12</f>
        <v>0.16815506891660348</v>
      </c>
      <c r="J12" s="59">
        <f>H12/F12</f>
        <v>0.1689958442611865</v>
      </c>
      <c r="K12" s="60" t="s">
        <v>262</v>
      </c>
      <c r="L12" s="115"/>
      <c r="M12" s="65">
        <f>IF(I12&gt;1,1,I12)</f>
        <v>0.16815506891660348</v>
      </c>
      <c r="N12" s="65">
        <f>I12</f>
        <v>0.16815506891660348</v>
      </c>
    </row>
    <row r="13" spans="1:15" ht="64.5" customHeight="1">
      <c r="A13" s="248"/>
      <c r="B13" s="237"/>
      <c r="C13" s="49">
        <v>5</v>
      </c>
      <c r="D13" s="61" t="s">
        <v>56</v>
      </c>
      <c r="E13" s="81" t="s">
        <v>85</v>
      </c>
      <c r="F13" s="50">
        <f>'[1]Новое приложение 1'!$V$28</f>
        <v>95.92789581698834</v>
      </c>
      <c r="G13" s="119">
        <f>F13*1.0011</f>
        <v>96.033416502387041</v>
      </c>
      <c r="H13" s="50">
        <f>'[2]Новое приложение 1'!$V$28</f>
        <v>95.92789581698834</v>
      </c>
      <c r="I13" s="58">
        <f>H13/G13</f>
        <v>0.99890120867046239</v>
      </c>
      <c r="J13" s="59">
        <f>H13/F13</f>
        <v>1</v>
      </c>
      <c r="K13" s="60" t="s">
        <v>166</v>
      </c>
      <c r="L13" s="115"/>
      <c r="M13" s="65">
        <f>IF(I13&gt;1,1,I13)</f>
        <v>0.99890120867046239</v>
      </c>
      <c r="N13" s="65">
        <f>I13</f>
        <v>0.99890120867046239</v>
      </c>
    </row>
    <row r="14" spans="1:15" ht="64.5" customHeight="1">
      <c r="A14" s="248"/>
      <c r="B14" s="237"/>
      <c r="C14" s="111">
        <v>6</v>
      </c>
      <c r="D14" s="20" t="s">
        <v>57</v>
      </c>
      <c r="E14" s="112" t="s">
        <v>85</v>
      </c>
      <c r="F14" s="49">
        <v>0</v>
      </c>
      <c r="G14" s="49">
        <v>0</v>
      </c>
      <c r="H14" s="49">
        <v>0</v>
      </c>
      <c r="I14" s="58">
        <v>0</v>
      </c>
      <c r="J14" s="59">
        <v>0</v>
      </c>
      <c r="K14" s="60" t="s">
        <v>138</v>
      </c>
      <c r="L14" s="113"/>
      <c r="M14" s="114"/>
      <c r="N14" s="114"/>
    </row>
    <row r="15" spans="1:15" ht="18.75" customHeight="1">
      <c r="A15" s="248"/>
      <c r="B15" s="237"/>
      <c r="C15" s="210" t="s">
        <v>58</v>
      </c>
      <c r="D15" s="210"/>
      <c r="E15" s="210"/>
      <c r="F15" s="210"/>
      <c r="G15" s="210"/>
      <c r="H15" s="210"/>
      <c r="I15" s="210"/>
      <c r="J15" s="210"/>
      <c r="K15" s="210"/>
      <c r="L15" s="104"/>
      <c r="M15" s="83"/>
      <c r="N15" s="83"/>
    </row>
    <row r="16" spans="1:15" ht="62.25" customHeight="1">
      <c r="A16" s="248"/>
      <c r="B16" s="237"/>
      <c r="C16" s="49">
        <v>7</v>
      </c>
      <c r="D16" s="61" t="s">
        <v>59</v>
      </c>
      <c r="E16" s="173" t="s">
        <v>86</v>
      </c>
      <c r="F16" s="50">
        <f>'[1]Новое приложение 1'!$V$33</f>
        <v>29.599935135460708</v>
      </c>
      <c r="G16" s="119">
        <f>F16*0.995</f>
        <v>29.451935459783403</v>
      </c>
      <c r="H16" s="50">
        <f>'[2]Новое приложение 1'!$V$33</f>
        <v>29.530153151469587</v>
      </c>
      <c r="I16" s="58">
        <f t="shared" ref="I16:I21" si="0">G16/H16</f>
        <v>0.99735126020901477</v>
      </c>
      <c r="J16" s="59">
        <f>F16/H16</f>
        <v>1.0023630755869497</v>
      </c>
      <c r="K16" s="60" t="s">
        <v>263</v>
      </c>
      <c r="L16" s="115"/>
      <c r="M16" s="65">
        <f t="shared" ref="M16:M22" si="1">IF(I16&gt;1,1,I16)</f>
        <v>0.99735126020901477</v>
      </c>
      <c r="N16" s="65">
        <v>1</v>
      </c>
    </row>
    <row r="17" spans="1:17" ht="61.5" customHeight="1">
      <c r="A17" s="248"/>
      <c r="B17" s="237"/>
      <c r="C17" s="49">
        <v>8</v>
      </c>
      <c r="D17" s="61" t="s">
        <v>60</v>
      </c>
      <c r="E17" s="84" t="s">
        <v>212</v>
      </c>
      <c r="F17" s="57">
        <f>'[1]Новое приложение 1'!$V$36</f>
        <v>22.931319556702313</v>
      </c>
      <c r="G17" s="119">
        <f>F17*0.995</f>
        <v>22.816662958918801</v>
      </c>
      <c r="H17" s="57">
        <f>'[2]Новое приложение 1'!$V$36</f>
        <v>22.931319556702313</v>
      </c>
      <c r="I17" s="58">
        <f t="shared" si="0"/>
        <v>0.995</v>
      </c>
      <c r="J17" s="59">
        <f t="shared" ref="J17:J40" si="2">F17/H17</f>
        <v>1</v>
      </c>
      <c r="K17" s="60" t="s">
        <v>230</v>
      </c>
      <c r="L17" s="115"/>
      <c r="M17" s="65">
        <f t="shared" si="1"/>
        <v>0.995</v>
      </c>
      <c r="N17" s="65">
        <f>I17</f>
        <v>0.995</v>
      </c>
    </row>
    <row r="18" spans="1:17" ht="60.75" customHeight="1">
      <c r="A18" s="248"/>
      <c r="B18" s="237"/>
      <c r="C18" s="49">
        <v>9</v>
      </c>
      <c r="D18" s="61" t="s">
        <v>61</v>
      </c>
      <c r="E18" s="49" t="s">
        <v>221</v>
      </c>
      <c r="F18" s="58">
        <f>'[1]Новое приложение 1'!$V$41</f>
        <v>0.16836464102201559</v>
      </c>
      <c r="G18" s="120">
        <f>F18*0.995</f>
        <v>0.16752281781690551</v>
      </c>
      <c r="H18" s="58">
        <f>'[2]Новое приложение 1'!$V$41</f>
        <v>0.16836464102201559</v>
      </c>
      <c r="I18" s="58">
        <f t="shared" si="0"/>
        <v>0.995</v>
      </c>
      <c r="J18" s="59">
        <f t="shared" si="2"/>
        <v>1</v>
      </c>
      <c r="K18" s="175" t="s">
        <v>261</v>
      </c>
      <c r="L18" s="115"/>
      <c r="M18" s="65">
        <f t="shared" si="1"/>
        <v>0.995</v>
      </c>
      <c r="N18" s="65">
        <v>1</v>
      </c>
    </row>
    <row r="19" spans="1:17" ht="55.5" customHeight="1">
      <c r="A19" s="248"/>
      <c r="B19" s="237"/>
      <c r="C19" s="49">
        <v>10</v>
      </c>
      <c r="D19" s="61" t="s">
        <v>62</v>
      </c>
      <c r="E19" s="49" t="s">
        <v>222</v>
      </c>
      <c r="F19" s="57">
        <f>'[1]Новое приложение 1'!$V$44</f>
        <v>5.2539586585985498</v>
      </c>
      <c r="G19" s="119">
        <f>F19*0.995</f>
        <v>5.2276888653055567</v>
      </c>
      <c r="H19" s="57">
        <f>'[2]Новое приложение 1'!$V$44</f>
        <v>5.2539586585985498</v>
      </c>
      <c r="I19" s="58">
        <f t="shared" si="0"/>
        <v>0.99499999999999988</v>
      </c>
      <c r="J19" s="59">
        <f t="shared" si="2"/>
        <v>1</v>
      </c>
      <c r="K19" s="175" t="s">
        <v>230</v>
      </c>
      <c r="L19" s="115"/>
      <c r="M19" s="65">
        <f t="shared" si="1"/>
        <v>0.99499999999999988</v>
      </c>
      <c r="N19" s="65">
        <v>1</v>
      </c>
    </row>
    <row r="20" spans="1:17" ht="58.5" customHeight="1">
      <c r="A20" s="248"/>
      <c r="B20" s="237"/>
      <c r="C20" s="49">
        <v>11</v>
      </c>
      <c r="D20" s="61" t="s">
        <v>63</v>
      </c>
      <c r="E20" s="49" t="s">
        <v>222</v>
      </c>
      <c r="F20" s="57">
        <f>'[1]Новое приложение 1'!$V$47</f>
        <v>3.3833769000395546</v>
      </c>
      <c r="G20" s="119">
        <f>F20*0.995</f>
        <v>3.3664600155393569</v>
      </c>
      <c r="H20" s="57">
        <f>'[2]Новое приложение 1'!$V$47</f>
        <v>3.3833769000395546</v>
      </c>
      <c r="I20" s="58">
        <f t="shared" si="0"/>
        <v>0.995</v>
      </c>
      <c r="J20" s="59">
        <f t="shared" si="2"/>
        <v>1</v>
      </c>
      <c r="K20" s="175" t="s">
        <v>230</v>
      </c>
      <c r="L20" s="115"/>
      <c r="M20" s="65">
        <f t="shared" si="1"/>
        <v>0.995</v>
      </c>
      <c r="N20" s="65">
        <v>1</v>
      </c>
    </row>
    <row r="21" spans="1:17" ht="69" customHeight="1">
      <c r="A21" s="248"/>
      <c r="B21" s="237"/>
      <c r="C21" s="49">
        <v>12</v>
      </c>
      <c r="D21" s="61" t="s">
        <v>64</v>
      </c>
      <c r="E21" s="49" t="s">
        <v>222</v>
      </c>
      <c r="F21" s="57">
        <f>'[1]Новое приложение 1'!$V$51</f>
        <v>247.85581395348837</v>
      </c>
      <c r="G21" s="119">
        <f>F21*0.9999</f>
        <v>247.83102837209302</v>
      </c>
      <c r="H21" s="57">
        <f>'[2]Новое приложение 1'!$V$51</f>
        <v>341.68986083499004</v>
      </c>
      <c r="I21" s="58">
        <f t="shared" si="0"/>
        <v>0.72530986950115084</v>
      </c>
      <c r="J21" s="59">
        <f t="shared" si="2"/>
        <v>0.72538240774192497</v>
      </c>
      <c r="K21" s="175" t="s">
        <v>230</v>
      </c>
      <c r="L21" s="115"/>
      <c r="M21" s="65">
        <f t="shared" si="1"/>
        <v>0.72530986950115084</v>
      </c>
      <c r="N21" s="65">
        <v>1</v>
      </c>
    </row>
    <row r="22" spans="1:17" ht="117.75" customHeight="1">
      <c r="A22" s="248"/>
      <c r="B22" s="237"/>
      <c r="C22" s="49">
        <v>13</v>
      </c>
      <c r="D22" s="61" t="s">
        <v>65</v>
      </c>
      <c r="E22" s="49" t="s">
        <v>87</v>
      </c>
      <c r="F22" s="49">
        <v>1</v>
      </c>
      <c r="G22" s="48">
        <v>1</v>
      </c>
      <c r="H22" s="49">
        <v>1</v>
      </c>
      <c r="I22" s="58">
        <f>H22/G22</f>
        <v>1</v>
      </c>
      <c r="J22" s="59">
        <f t="shared" si="2"/>
        <v>1</v>
      </c>
      <c r="K22" s="175" t="s">
        <v>223</v>
      </c>
      <c r="L22" s="115"/>
      <c r="M22" s="65">
        <f t="shared" si="1"/>
        <v>1</v>
      </c>
      <c r="N22" s="65">
        <f>I22</f>
        <v>1</v>
      </c>
    </row>
    <row r="23" spans="1:17" ht="18.75" customHeight="1">
      <c r="A23" s="248"/>
      <c r="B23" s="237"/>
      <c r="C23" s="210" t="s">
        <v>66</v>
      </c>
      <c r="D23" s="210"/>
      <c r="E23" s="210"/>
      <c r="F23" s="210"/>
      <c r="G23" s="210"/>
      <c r="H23" s="210"/>
      <c r="I23" s="210"/>
      <c r="J23" s="210"/>
      <c r="K23" s="210"/>
      <c r="L23" s="116"/>
      <c r="M23" s="85"/>
      <c r="N23" s="85"/>
      <c r="O23" s="76">
        <v>2017</v>
      </c>
      <c r="Q23" s="76">
        <v>2018</v>
      </c>
    </row>
    <row r="24" spans="1:17" ht="50.25" customHeight="1">
      <c r="A24" s="248"/>
      <c r="B24" s="237"/>
      <c r="C24" s="49">
        <v>14</v>
      </c>
      <c r="D24" s="61" t="s">
        <v>67</v>
      </c>
      <c r="E24" s="84" t="s">
        <v>213</v>
      </c>
      <c r="F24" s="58">
        <f>'[1]Новое приложение 1'!$V$57</f>
        <v>0.19980821344704613</v>
      </c>
      <c r="G24" s="120">
        <f>F24*0.98</f>
        <v>0.19581204917810521</v>
      </c>
      <c r="H24" s="58">
        <f>'[2]Новое приложение 1'!$V$57</f>
        <v>0.12132243788179903</v>
      </c>
      <c r="I24" s="58">
        <f>G24/H24</f>
        <v>1.6139805018497837</v>
      </c>
      <c r="J24" s="59">
        <f>F24/H24</f>
        <v>1.646918879438555</v>
      </c>
      <c r="K24" s="136" t="s">
        <v>230</v>
      </c>
      <c r="L24" s="115"/>
      <c r="M24" s="65">
        <f t="shared" ref="M24:M42" si="3">IF(I24&gt;1,1,I24)</f>
        <v>1</v>
      </c>
      <c r="N24" s="65">
        <v>1</v>
      </c>
      <c r="O24" s="76">
        <f>15849.32+3954+233871</f>
        <v>253674.32</v>
      </c>
      <c r="Q24" s="76">
        <f>248596+19404</f>
        <v>268000</v>
      </c>
    </row>
    <row r="25" spans="1:17" ht="54" customHeight="1">
      <c r="A25" s="248"/>
      <c r="B25" s="237"/>
      <c r="C25" s="49">
        <v>15</v>
      </c>
      <c r="D25" s="61" t="s">
        <v>68</v>
      </c>
      <c r="E25" s="84" t="s">
        <v>214</v>
      </c>
      <c r="F25" s="50">
        <f>'[1]Новое приложение 1'!$V$60</f>
        <v>30.167272157399097</v>
      </c>
      <c r="G25" s="119">
        <v>29.93</v>
      </c>
      <c r="H25" s="50">
        <f>'[2]Новое приложение 1'!$V$60</f>
        <v>13.96741747517488</v>
      </c>
      <c r="I25" s="58">
        <f t="shared" ref="I25:I31" si="4">G25/H25</f>
        <v>2.1428442339606706</v>
      </c>
      <c r="J25" s="59">
        <f t="shared" si="2"/>
        <v>2.1598317807151663</v>
      </c>
      <c r="K25" s="136" t="s">
        <v>230</v>
      </c>
      <c r="L25" s="115"/>
      <c r="M25" s="65">
        <f t="shared" si="3"/>
        <v>1</v>
      </c>
      <c r="N25" s="65">
        <v>1</v>
      </c>
    </row>
    <row r="26" spans="1:17" ht="66.75" customHeight="1">
      <c r="A26" s="248"/>
      <c r="B26" s="237"/>
      <c r="C26" s="49">
        <v>16</v>
      </c>
      <c r="D26" s="61" t="s">
        <v>69</v>
      </c>
      <c r="E26" s="84" t="s">
        <v>214</v>
      </c>
      <c r="F26" s="50">
        <f>'[1]Новое приложение 1'!$V$63</f>
        <v>19.13782615178172</v>
      </c>
      <c r="G26" s="119">
        <f>F26*0.99</f>
        <v>18.946447890263904</v>
      </c>
      <c r="H26" s="50">
        <f>'[2]Новое приложение 1'!$V$63</f>
        <v>8.3301549463647202</v>
      </c>
      <c r="I26" s="58">
        <f t="shared" si="4"/>
        <v>2.2744412333569057</v>
      </c>
      <c r="J26" s="59">
        <f t="shared" si="2"/>
        <v>2.2974153872291976</v>
      </c>
      <c r="K26" s="136" t="s">
        <v>230</v>
      </c>
      <c r="L26" s="115"/>
      <c r="M26" s="65">
        <f t="shared" si="3"/>
        <v>1</v>
      </c>
      <c r="N26" s="65">
        <v>1</v>
      </c>
    </row>
    <row r="27" spans="1:17" ht="60" customHeight="1">
      <c r="A27" s="248"/>
      <c r="B27" s="237"/>
      <c r="C27" s="49">
        <v>17</v>
      </c>
      <c r="D27" s="61" t="s">
        <v>70</v>
      </c>
      <c r="E27" s="84" t="s">
        <v>212</v>
      </c>
      <c r="F27" s="50">
        <f>'[1]Новое приложение 1'!$V$66</f>
        <v>20.076297268907567</v>
      </c>
      <c r="G27" s="173">
        <v>20.34</v>
      </c>
      <c r="H27" s="50">
        <f>'[2]Новое приложение 1'!$V$66</f>
        <v>10.038148634453783</v>
      </c>
      <c r="I27" s="58">
        <f t="shared" si="4"/>
        <v>2.0262700564312559</v>
      </c>
      <c r="J27" s="59">
        <f t="shared" si="2"/>
        <v>2</v>
      </c>
      <c r="K27" s="136" t="s">
        <v>230</v>
      </c>
      <c r="L27" s="115"/>
      <c r="M27" s="65">
        <f t="shared" si="3"/>
        <v>1</v>
      </c>
      <c r="N27" s="65">
        <f>I27</f>
        <v>2.0262700564312559</v>
      </c>
    </row>
    <row r="28" spans="1:17" ht="60" customHeight="1">
      <c r="A28" s="248"/>
      <c r="B28" s="237"/>
      <c r="C28" s="111">
        <v>18</v>
      </c>
      <c r="D28" s="20" t="s">
        <v>188</v>
      </c>
      <c r="E28" s="137" t="s">
        <v>220</v>
      </c>
      <c r="F28" s="33"/>
      <c r="G28" s="173"/>
      <c r="H28" s="33"/>
      <c r="I28" s="138"/>
      <c r="J28" s="139"/>
      <c r="K28" s="140" t="s">
        <v>184</v>
      </c>
      <c r="L28" s="117"/>
      <c r="M28" s="65"/>
      <c r="N28" s="65"/>
    </row>
    <row r="29" spans="1:17" ht="45">
      <c r="A29" s="248"/>
      <c r="B29" s="237"/>
      <c r="C29" s="49">
        <v>19</v>
      </c>
      <c r="D29" s="61" t="s">
        <v>71</v>
      </c>
      <c r="E29" s="84" t="s">
        <v>88</v>
      </c>
      <c r="F29" s="50">
        <f>'[1]Новое приложение 1'!$V$69</f>
        <v>544.58933481500492</v>
      </c>
      <c r="G29" s="173">
        <v>546.09</v>
      </c>
      <c r="H29" s="50">
        <f>'[2]Новое приложение 1'!$V$69</f>
        <v>272.65592456275505</v>
      </c>
      <c r="I29" s="58">
        <f t="shared" si="4"/>
        <v>2.0028539664991247</v>
      </c>
      <c r="J29" s="59">
        <f t="shared" si="2"/>
        <v>1.997350087618071</v>
      </c>
      <c r="K29" s="136" t="s">
        <v>230</v>
      </c>
      <c r="L29" s="115"/>
      <c r="M29" s="65">
        <f t="shared" si="3"/>
        <v>1</v>
      </c>
      <c r="N29" s="65">
        <v>1</v>
      </c>
      <c r="O29" s="76">
        <f>1198.46+35955.03+1872</f>
        <v>39025.49</v>
      </c>
      <c r="Q29" s="76">
        <v>38956.550000000003</v>
      </c>
    </row>
    <row r="30" spans="1:17" ht="45">
      <c r="A30" s="248"/>
      <c r="B30" s="237"/>
      <c r="C30" s="49">
        <v>20</v>
      </c>
      <c r="D30" s="61" t="s">
        <v>139</v>
      </c>
      <c r="E30" s="84" t="s">
        <v>214</v>
      </c>
      <c r="F30" s="50">
        <f>'[1]Новое приложение 1'!$V$75</f>
        <v>115.39223484564242</v>
      </c>
      <c r="G30" s="173">
        <v>118.46</v>
      </c>
      <c r="H30" s="50">
        <f>'[2]Новое приложение 1'!$V$75</f>
        <v>57.612246733005634</v>
      </c>
      <c r="I30" s="58">
        <f t="shared" si="4"/>
        <v>2.0561600478624475</v>
      </c>
      <c r="J30" s="59">
        <f t="shared" si="2"/>
        <v>2.0029115576833605</v>
      </c>
      <c r="K30" s="136" t="s">
        <v>230</v>
      </c>
      <c r="L30" s="115"/>
      <c r="M30" s="65">
        <f t="shared" si="3"/>
        <v>1</v>
      </c>
      <c r="N30" s="65">
        <v>1</v>
      </c>
      <c r="O30" s="76">
        <f>8710100/68902</f>
        <v>126.41287625903458</v>
      </c>
      <c r="Q30" s="76">
        <f>8303040/67775</f>
        <v>122.50888970859461</v>
      </c>
    </row>
    <row r="31" spans="1:17" ht="45">
      <c r="A31" s="248"/>
      <c r="B31" s="237"/>
      <c r="C31" s="49">
        <v>21</v>
      </c>
      <c r="D31" s="61" t="s">
        <v>72</v>
      </c>
      <c r="E31" s="173" t="s">
        <v>86</v>
      </c>
      <c r="F31" s="50">
        <f>'[1]Новое приложение 1'!$V$78</f>
        <v>35.86202815913866</v>
      </c>
      <c r="G31" s="119">
        <f>F31*0.98</f>
        <v>35.144787595955883</v>
      </c>
      <c r="H31" s="50">
        <f>'[2]Новое приложение 1'!$V$78</f>
        <v>20.534304231880252</v>
      </c>
      <c r="I31" s="58">
        <f t="shared" si="4"/>
        <v>1.7115158711534197</v>
      </c>
      <c r="J31" s="59">
        <f>F31/H31</f>
        <v>1.7464447664830816</v>
      </c>
      <c r="K31" s="136" t="s">
        <v>261</v>
      </c>
      <c r="L31" s="115"/>
      <c r="M31" s="65">
        <f t="shared" si="3"/>
        <v>1</v>
      </c>
      <c r="N31" s="65">
        <v>1</v>
      </c>
      <c r="O31" s="76">
        <f>39025.49*0.3445+332686.45*0.1486+8710.1*1.154</f>
        <v>72932.943174999993</v>
      </c>
      <c r="Q31" s="76">
        <f>38956.55*0.3445+345294*0.1486+8303.04*1.154</f>
        <v>74312.928035000004</v>
      </c>
    </row>
    <row r="32" spans="1:17" ht="22.5" customHeight="1">
      <c r="A32" s="248"/>
      <c r="B32" s="237"/>
      <c r="C32" s="210" t="s">
        <v>73</v>
      </c>
      <c r="D32" s="210"/>
      <c r="E32" s="210"/>
      <c r="F32" s="210"/>
      <c r="G32" s="210"/>
      <c r="H32" s="210"/>
      <c r="I32" s="210"/>
      <c r="J32" s="210"/>
      <c r="K32" s="210"/>
      <c r="L32" s="116"/>
      <c r="M32" s="85"/>
      <c r="N32" s="85"/>
    </row>
    <row r="33" spans="1:17" ht="49.5" customHeight="1">
      <c r="A33" s="248"/>
      <c r="B33" s="237"/>
      <c r="C33" s="49">
        <v>22</v>
      </c>
      <c r="D33" s="61" t="s">
        <v>74</v>
      </c>
      <c r="E33" s="174" t="s">
        <v>89</v>
      </c>
      <c r="F33" s="50">
        <f>'[1]Новое приложение 1'!$V$82</f>
        <v>155.34018894705346</v>
      </c>
      <c r="G33" s="119">
        <v>156.63</v>
      </c>
      <c r="H33" s="50">
        <f>'[2]Новое приложение 1'!$V$82</f>
        <v>154.62126878612716</v>
      </c>
      <c r="I33" s="58">
        <f>G33/H33</f>
        <v>1.0129912995129495</v>
      </c>
      <c r="J33" s="59">
        <f>F33/H33</f>
        <v>1.0046495554367796</v>
      </c>
      <c r="K33" s="60" t="s">
        <v>260</v>
      </c>
      <c r="L33" s="115"/>
      <c r="M33" s="65">
        <f t="shared" si="3"/>
        <v>1</v>
      </c>
      <c r="N33" s="65">
        <v>1</v>
      </c>
      <c r="O33" s="76">
        <f>'[3]выработка и газ'!$D$7*1.154</f>
        <v>121057.49653999998</v>
      </c>
      <c r="P33" s="76">
        <f>'[3]выработка и газ'!$D$5</f>
        <v>772731</v>
      </c>
      <c r="Q33" s="76">
        <f>O33/P33*1000</f>
        <v>156.66188691795719</v>
      </c>
    </row>
    <row r="34" spans="1:17" ht="56.25" customHeight="1">
      <c r="A34" s="248"/>
      <c r="B34" s="237"/>
      <c r="C34" s="49">
        <v>23</v>
      </c>
      <c r="D34" s="61" t="s">
        <v>75</v>
      </c>
      <c r="E34" s="174" t="s">
        <v>89</v>
      </c>
      <c r="F34" s="50">
        <f>'[1]Новое приложение 1'!$V$87</f>
        <v>164.04718547054432</v>
      </c>
      <c r="G34" s="173">
        <v>174.99</v>
      </c>
      <c r="H34" s="50">
        <f>'[2]Новое приложение 1'!$V$87</f>
        <v>184.3039612193333</v>
      </c>
      <c r="I34" s="58">
        <f t="shared" ref="I34:I40" si="5">G34/H34</f>
        <v>0.94946412894376642</v>
      </c>
      <c r="J34" s="59">
        <f>F34/H34</f>
        <v>0.8900903940709004</v>
      </c>
      <c r="K34" s="60" t="s">
        <v>260</v>
      </c>
      <c r="L34" s="115"/>
      <c r="M34" s="65">
        <f t="shared" si="3"/>
        <v>0.94946412894376642</v>
      </c>
      <c r="N34" s="65">
        <v>1</v>
      </c>
      <c r="O34" s="76">
        <f>'[3]выработка и газ'!$D$38*1.154</f>
        <v>13688.414493999999</v>
      </c>
      <c r="P34" s="76">
        <f>'[3]выработка и газ'!$D$39</f>
        <v>85619.05</v>
      </c>
      <c r="Q34" s="76">
        <f>O34/P34*1000</f>
        <v>159.87580443838141</v>
      </c>
    </row>
    <row r="35" spans="1:17" ht="36">
      <c r="A35" s="248"/>
      <c r="B35" s="237"/>
      <c r="C35" s="49">
        <v>24</v>
      </c>
      <c r="D35" s="61" t="s">
        <v>76</v>
      </c>
      <c r="E35" s="174" t="s">
        <v>90</v>
      </c>
      <c r="F35" s="50">
        <f>'[1]Новое приложение 1'!$V$92</f>
        <v>14.345843669216839</v>
      </c>
      <c r="G35" s="173">
        <v>13.65</v>
      </c>
      <c r="H35" s="50">
        <f>'[2]Новое приложение 1'!$V$92</f>
        <v>13.755027198344832</v>
      </c>
      <c r="I35" s="58">
        <f t="shared" si="5"/>
        <v>0.99236444996942863</v>
      </c>
      <c r="J35" s="59">
        <f t="shared" si="2"/>
        <v>1.0429527664578591</v>
      </c>
      <c r="K35" s="249" t="s">
        <v>259</v>
      </c>
      <c r="L35" s="115"/>
      <c r="M35" s="65">
        <f t="shared" si="3"/>
        <v>0.99236444996942863</v>
      </c>
      <c r="N35" s="65">
        <f>I35</f>
        <v>0.99236444996942863</v>
      </c>
      <c r="O35" s="86">
        <f>[3]Лист2!$J$10</f>
        <v>11242167.1</v>
      </c>
      <c r="P35" s="76">
        <f>O36</f>
        <v>817960.84899999993</v>
      </c>
      <c r="Q35" s="76">
        <f>O35/P35</f>
        <v>13.744138382349398</v>
      </c>
    </row>
    <row r="36" spans="1:17" ht="48.75" customHeight="1">
      <c r="A36" s="248"/>
      <c r="B36" s="237"/>
      <c r="C36" s="49">
        <v>25</v>
      </c>
      <c r="D36" s="61" t="s">
        <v>77</v>
      </c>
      <c r="E36" s="49" t="s">
        <v>85</v>
      </c>
      <c r="F36" s="50">
        <f>'[1]Новое приложение 1'!$V$95</f>
        <v>17.947342081650579</v>
      </c>
      <c r="G36" s="173">
        <v>17.18</v>
      </c>
      <c r="H36" s="50">
        <f>'[2]Новое приложение 1'!$V$95</f>
        <v>11.696853408236931</v>
      </c>
      <c r="I36" s="58">
        <f t="shared" si="5"/>
        <v>1.4687710788870649</v>
      </c>
      <c r="J36" s="59">
        <f t="shared" si="2"/>
        <v>1.5343735152748046</v>
      </c>
      <c r="K36" s="250"/>
      <c r="L36" s="115"/>
      <c r="M36" s="65">
        <f t="shared" si="3"/>
        <v>1</v>
      </c>
      <c r="N36" s="65">
        <v>1</v>
      </c>
      <c r="O36" s="76">
        <f>'[3]выработка и газ'!$D$32</f>
        <v>817960.84899999993</v>
      </c>
      <c r="P36" s="86">
        <f>[3]Лист2!$J$25</f>
        <v>154941.39000000001</v>
      </c>
      <c r="Q36" s="76">
        <f>P36/O36</f>
        <v>0.18942396838360173</v>
      </c>
    </row>
    <row r="37" spans="1:17" ht="24">
      <c r="A37" s="248"/>
      <c r="B37" s="237"/>
      <c r="C37" s="49">
        <v>26</v>
      </c>
      <c r="D37" s="61" t="s">
        <v>78</v>
      </c>
      <c r="E37" s="49" t="s">
        <v>85</v>
      </c>
      <c r="F37" s="50">
        <v>37.5</v>
      </c>
      <c r="G37" s="119">
        <f>F37*0.98</f>
        <v>36.75</v>
      </c>
      <c r="H37" s="50">
        <v>38.909999999999997</v>
      </c>
      <c r="I37" s="58">
        <f t="shared" si="5"/>
        <v>0.94448727833461843</v>
      </c>
      <c r="J37" s="59">
        <f t="shared" si="2"/>
        <v>0.96376252891287595</v>
      </c>
      <c r="K37" s="175" t="s">
        <v>167</v>
      </c>
      <c r="L37" s="115"/>
      <c r="M37" s="65">
        <f t="shared" si="3"/>
        <v>0.94448727833461843</v>
      </c>
      <c r="N37" s="65">
        <f>I37</f>
        <v>0.94448727833461843</v>
      </c>
      <c r="O37" s="76">
        <f>'[3]выработка и газ'!$D$35</f>
        <v>9101.7570000000014</v>
      </c>
      <c r="P37" s="86">
        <f>[3]Лист2!$V$15/1000</f>
        <v>2912.904</v>
      </c>
      <c r="Q37" s="76">
        <f>P37/O37*100</f>
        <v>32.003754879415034</v>
      </c>
    </row>
    <row r="38" spans="1:17" ht="72.75" customHeight="1">
      <c r="A38" s="248"/>
      <c r="B38" s="237"/>
      <c r="C38" s="49">
        <v>27</v>
      </c>
      <c r="D38" s="61" t="s">
        <v>79</v>
      </c>
      <c r="E38" s="49" t="s">
        <v>91</v>
      </c>
      <c r="F38" s="50">
        <f>'[1]Новое приложение 1'!$V$100</f>
        <v>0.48680576162566569</v>
      </c>
      <c r="G38" s="120">
        <v>0.47799999999999998</v>
      </c>
      <c r="H38" s="50">
        <f>'[2]Новое приложение 1'!$V$100</f>
        <v>0.47267230673193156</v>
      </c>
      <c r="I38" s="58">
        <f t="shared" si="5"/>
        <v>1.0112714309516126</v>
      </c>
      <c r="J38" s="59">
        <f t="shared" si="2"/>
        <v>1.0299011697796581</v>
      </c>
      <c r="K38" s="175" t="s">
        <v>166</v>
      </c>
      <c r="L38" s="115"/>
      <c r="M38" s="65">
        <f t="shared" si="3"/>
        <v>1</v>
      </c>
      <c r="N38" s="65">
        <f>I38</f>
        <v>1.0112714309516126</v>
      </c>
      <c r="O38" s="86">
        <f>[3]Лист2!$V$7</f>
        <v>4674365</v>
      </c>
      <c r="P38" s="76">
        <f>O37*1000</f>
        <v>9101757.0000000019</v>
      </c>
      <c r="Q38" s="76">
        <f>O38/P38</f>
        <v>0.51356732551747963</v>
      </c>
    </row>
    <row r="39" spans="1:17" ht="39" customHeight="1">
      <c r="A39" s="248"/>
      <c r="B39" s="237"/>
      <c r="C39" s="49">
        <v>28</v>
      </c>
      <c r="D39" s="61" t="s">
        <v>80</v>
      </c>
      <c r="E39" s="49" t="s">
        <v>91</v>
      </c>
      <c r="F39" s="50">
        <f>'[1]Новое приложение 1'!$V$102</f>
        <v>0.39679586492034219</v>
      </c>
      <c r="G39" s="120">
        <f>F39*0.99</f>
        <v>0.39282790627113878</v>
      </c>
      <c r="H39" s="50">
        <f>'[2]Новое приложение 1'!$V$102</f>
        <v>0.40936063903224745</v>
      </c>
      <c r="I39" s="58">
        <f t="shared" si="5"/>
        <v>0.9596132818235944</v>
      </c>
      <c r="J39" s="59">
        <f t="shared" si="2"/>
        <v>0.96930634527635795</v>
      </c>
      <c r="K39" s="60" t="s">
        <v>258</v>
      </c>
      <c r="L39" s="118"/>
      <c r="M39" s="106">
        <f t="shared" si="3"/>
        <v>0.9596132818235944</v>
      </c>
      <c r="N39" s="65">
        <v>1</v>
      </c>
      <c r="O39" s="86">
        <f>[3]Лист2!$V$20</f>
        <v>3305071</v>
      </c>
      <c r="P39" s="86">
        <f>[3]Лист2!$V$28</f>
        <v>7855098</v>
      </c>
      <c r="Q39" s="76">
        <f>O39/P39</f>
        <v>0.42075490337612592</v>
      </c>
    </row>
    <row r="40" spans="1:17" ht="103.5" customHeight="1">
      <c r="A40" s="248"/>
      <c r="B40" s="237"/>
      <c r="C40" s="49">
        <v>29</v>
      </c>
      <c r="D40" s="61" t="s">
        <v>81</v>
      </c>
      <c r="E40" s="141" t="s">
        <v>92</v>
      </c>
      <c r="F40" s="50">
        <f>'[1]Новое приложение 1'!$V$105</f>
        <v>0.97581434674261303</v>
      </c>
      <c r="G40" s="119">
        <f>F40*0.99</f>
        <v>0.96605620327518693</v>
      </c>
      <c r="H40" s="50">
        <f>'[2]Новое приложение 1'!$V$105</f>
        <v>0.97581434674261303</v>
      </c>
      <c r="I40" s="58">
        <f t="shared" si="5"/>
        <v>0.99</v>
      </c>
      <c r="J40" s="59">
        <f t="shared" si="2"/>
        <v>1</v>
      </c>
      <c r="K40" s="97" t="s">
        <v>206</v>
      </c>
      <c r="L40" s="87"/>
      <c r="M40" s="107">
        <f t="shared" si="3"/>
        <v>0.99</v>
      </c>
      <c r="N40" s="88">
        <v>1</v>
      </c>
    </row>
    <row r="41" spans="1:17" ht="24" customHeight="1">
      <c r="A41" s="248"/>
      <c r="B41" s="237"/>
      <c r="C41" s="210" t="s">
        <v>82</v>
      </c>
      <c r="D41" s="210"/>
      <c r="E41" s="210"/>
      <c r="F41" s="210"/>
      <c r="G41" s="210"/>
      <c r="H41" s="210"/>
      <c r="I41" s="210"/>
      <c r="J41" s="210"/>
      <c r="K41" s="210"/>
      <c r="L41" s="82"/>
      <c r="M41" s="108"/>
      <c r="N41" s="85"/>
    </row>
    <row r="42" spans="1:17" ht="120" customHeight="1">
      <c r="A42" s="248"/>
      <c r="B42" s="237"/>
      <c r="C42" s="49">
        <v>30</v>
      </c>
      <c r="D42" s="61" t="s">
        <v>83</v>
      </c>
      <c r="E42" s="49" t="s">
        <v>87</v>
      </c>
      <c r="F42" s="49">
        <v>65</v>
      </c>
      <c r="G42" s="49">
        <v>65</v>
      </c>
      <c r="H42" s="49">
        <v>65</v>
      </c>
      <c r="I42" s="58">
        <f>H42/G42</f>
        <v>1</v>
      </c>
      <c r="J42" s="59">
        <f>H42/F42</f>
        <v>1</v>
      </c>
      <c r="K42" s="60" t="s">
        <v>229</v>
      </c>
      <c r="L42" s="118"/>
      <c r="M42" s="106">
        <f t="shared" si="3"/>
        <v>1</v>
      </c>
      <c r="N42" s="65">
        <v>1</v>
      </c>
    </row>
    <row r="43" spans="1:17" ht="11.25" customHeight="1"/>
    <row r="44" spans="1:17" ht="39.75" hidden="1" customHeight="1">
      <c r="A44" s="236" t="s">
        <v>218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71"/>
      <c r="M44" s="66"/>
      <c r="N44" s="66"/>
    </row>
    <row r="45" spans="1:17" ht="15" hidden="1" customHeight="1">
      <c r="A45" s="247" t="s">
        <v>140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92"/>
      <c r="M45" s="93"/>
      <c r="N45" s="93"/>
    </row>
    <row r="46" spans="1:17" hidden="1">
      <c r="A46" s="247"/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92"/>
      <c r="M46" s="93"/>
      <c r="N46" s="93"/>
    </row>
    <row r="48" spans="1:17">
      <c r="A48" s="238" t="s">
        <v>189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</row>
    <row r="49" spans="1:15">
      <c r="A49" s="238" t="s">
        <v>186</v>
      </c>
      <c r="B49" s="238"/>
      <c r="C49" s="238"/>
      <c r="D49" s="238"/>
      <c r="E49" s="238"/>
      <c r="F49" s="238"/>
      <c r="G49" s="238"/>
      <c r="H49" s="238"/>
      <c r="I49" s="238"/>
      <c r="J49" s="94"/>
      <c r="K49" s="94"/>
      <c r="L49" s="94"/>
      <c r="M49" s="95"/>
      <c r="N49" s="95"/>
      <c r="O49" s="94"/>
    </row>
    <row r="50" spans="1:15">
      <c r="A50" s="246" t="s">
        <v>187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</row>
    <row r="51" spans="1:15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</row>
  </sheetData>
  <mergeCells count="25">
    <mergeCell ref="A50:O51"/>
    <mergeCell ref="A49:I49"/>
    <mergeCell ref="C41:K41"/>
    <mergeCell ref="C15:K15"/>
    <mergeCell ref="I3:I5"/>
    <mergeCell ref="F3:H3"/>
    <mergeCell ref="A45:K46"/>
    <mergeCell ref="J3:J5"/>
    <mergeCell ref="K3:K5"/>
    <mergeCell ref="A7:A42"/>
    <mergeCell ref="A3:B4"/>
    <mergeCell ref="H4:H5"/>
    <mergeCell ref="K35:K36"/>
    <mergeCell ref="C32:K32"/>
    <mergeCell ref="G4:G5"/>
    <mergeCell ref="C3:C5"/>
    <mergeCell ref="D3:D5"/>
    <mergeCell ref="A44:K44"/>
    <mergeCell ref="E3:E5"/>
    <mergeCell ref="B7:B42"/>
    <mergeCell ref="A48:O48"/>
    <mergeCell ref="C23:K23"/>
    <mergeCell ref="C7:K7"/>
    <mergeCell ref="C8:K8"/>
    <mergeCell ref="F4:F5"/>
  </mergeCells>
  <hyperlinks>
    <hyperlink ref="A2" r:id="rId1" display="consultantplus://offline/ref=81C534AC1618B38338B7138DDEB14344F59B417381706259B468524054C32ECBB30FCA5546109B5D4A4FB36DK7O"/>
  </hyperlinks>
  <pageMargins left="0.19685039370078741" right="0.19685039370078741" top="0.74803149606299213" bottom="0.35433070866141736" header="0.31496062992125984" footer="0.31496062992125984"/>
  <pageSetup paperSize="9" scale="78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1</vt:lpstr>
      <vt:lpstr>форма 2</vt:lpstr>
      <vt:lpstr>форма 4 нет</vt:lpstr>
      <vt:lpstr>форма3 </vt:lpstr>
      <vt:lpstr>форма 6</vt:lpstr>
      <vt:lpstr>форма 7</vt:lpstr>
      <vt:lpstr>тит лист</vt:lpstr>
      <vt:lpstr>форма 5 новая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2018-01-12T07:53:10Z</cp:lastPrinted>
  <dcterms:created xsi:type="dcterms:W3CDTF">2006-09-16T00:00:00Z</dcterms:created>
  <dcterms:modified xsi:type="dcterms:W3CDTF">2022-09-19T09:14:37Z</dcterms:modified>
</cp:coreProperties>
</file>